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ministração\2022\Licitações\Pregão Presencial\Pregão Presencial 004-2022\"/>
    </mc:Choice>
  </mc:AlternateContent>
  <bookViews>
    <workbookView xWindow="0" yWindow="0" windowWidth="20490" windowHeight="7755" activeTab="7"/>
  </bookViews>
  <sheets>
    <sheet name="Trajeto 1" sheetId="11" r:id="rId1"/>
    <sheet name="Trajeto 2" sheetId="12" r:id="rId2"/>
    <sheet name="Trajeto 3" sheetId="14" r:id="rId3"/>
    <sheet name="Trajeto 4" sheetId="15" r:id="rId4"/>
    <sheet name="Trajeto 5" sheetId="7" r:id="rId5"/>
    <sheet name="Trajeto 6" sheetId="8" r:id="rId6"/>
    <sheet name="Trajeto 7" sheetId="9" r:id="rId7"/>
    <sheet name="Trajeto 8" sheetId="10" r:id="rId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6" i="14" l="1"/>
  <c r="E47" i="12"/>
  <c r="E47" i="14" s="1"/>
  <c r="E48" i="12"/>
  <c r="E48" i="14" s="1"/>
  <c r="E46" i="12"/>
  <c r="E45" i="9"/>
  <c r="E126" i="15"/>
  <c r="E125" i="15"/>
  <c r="E127" i="15" s="1"/>
  <c r="H100" i="15"/>
  <c r="G83" i="15"/>
  <c r="E76" i="15"/>
  <c r="F75" i="15"/>
  <c r="G75" i="15" s="1"/>
  <c r="F74" i="15"/>
  <c r="G74" i="15" s="1"/>
  <c r="F73" i="15"/>
  <c r="G73" i="15" s="1"/>
  <c r="F71" i="15"/>
  <c r="G71" i="15" s="1"/>
  <c r="F65" i="15"/>
  <c r="G65" i="15" s="1"/>
  <c r="F64" i="15"/>
  <c r="G64" i="15" s="1"/>
  <c r="F63" i="15"/>
  <c r="G63" i="15" s="1"/>
  <c r="F62" i="15"/>
  <c r="G62" i="15" s="1"/>
  <c r="F61" i="15"/>
  <c r="G61" i="15" s="1"/>
  <c r="F59" i="15"/>
  <c r="G59" i="15" s="1"/>
  <c r="G58" i="15"/>
  <c r="F58" i="15"/>
  <c r="F57" i="15"/>
  <c r="G57" i="15" s="1"/>
  <c r="F56" i="15"/>
  <c r="G56" i="15" s="1"/>
  <c r="F55" i="15"/>
  <c r="G55" i="15" s="1"/>
  <c r="F54" i="15"/>
  <c r="G54" i="15" s="1"/>
  <c r="F53" i="15"/>
  <c r="G53" i="15" s="1"/>
  <c r="E45" i="15"/>
  <c r="E77" i="15" s="1"/>
  <c r="D33" i="15"/>
  <c r="B33" i="15"/>
  <c r="B31" i="15"/>
  <c r="D31" i="15" s="1"/>
  <c r="D30" i="15"/>
  <c r="B30" i="15"/>
  <c r="I29" i="15"/>
  <c r="L25" i="15"/>
  <c r="L26" i="15" s="1"/>
  <c r="H25" i="15"/>
  <c r="H24" i="15"/>
  <c r="H23" i="15"/>
  <c r="H22" i="15"/>
  <c r="B32" i="15" s="1"/>
  <c r="D32" i="15" s="1"/>
  <c r="H21" i="15"/>
  <c r="H20" i="15"/>
  <c r="H19" i="15"/>
  <c r="B29" i="15" s="1"/>
  <c r="D29" i="15" s="1"/>
  <c r="I13" i="15"/>
  <c r="I10" i="15"/>
  <c r="I9" i="15"/>
  <c r="B34" i="14"/>
  <c r="D34" i="14" s="1"/>
  <c r="L25" i="14"/>
  <c r="L26" i="14" s="1"/>
  <c r="I9" i="14"/>
  <c r="E126" i="14"/>
  <c r="E127" i="14" s="1"/>
  <c r="E125" i="14"/>
  <c r="H100" i="14"/>
  <c r="H104" i="14" s="1"/>
  <c r="D84" i="14"/>
  <c r="G83" i="14" s="1"/>
  <c r="E76" i="14"/>
  <c r="F75" i="14"/>
  <c r="G75" i="14" s="1"/>
  <c r="F74" i="14"/>
  <c r="G74" i="14" s="1"/>
  <c r="F73" i="14"/>
  <c r="G73" i="14" s="1"/>
  <c r="F71" i="14"/>
  <c r="G71" i="14" s="1"/>
  <c r="F65" i="14"/>
  <c r="G65" i="14" s="1"/>
  <c r="F64" i="14"/>
  <c r="G64" i="14" s="1"/>
  <c r="F63" i="14"/>
  <c r="G63" i="14" s="1"/>
  <c r="G62" i="14"/>
  <c r="F62" i="14"/>
  <c r="F61" i="14"/>
  <c r="G61" i="14" s="1"/>
  <c r="F59" i="14"/>
  <c r="G59" i="14" s="1"/>
  <c r="G58" i="14"/>
  <c r="F58" i="14"/>
  <c r="F57" i="14"/>
  <c r="G57" i="14" s="1"/>
  <c r="F56" i="14"/>
  <c r="F55" i="14"/>
  <c r="G55" i="14" s="1"/>
  <c r="F54" i="14"/>
  <c r="G54" i="14" s="1"/>
  <c r="G53" i="14"/>
  <c r="F53" i="14"/>
  <c r="E45" i="14"/>
  <c r="E77" i="14" s="1"/>
  <c r="B33" i="14"/>
  <c r="D33" i="14" s="1"/>
  <c r="I29" i="14"/>
  <c r="H24" i="14"/>
  <c r="H23" i="14"/>
  <c r="H22" i="14"/>
  <c r="B32" i="14" s="1"/>
  <c r="D32" i="14" s="1"/>
  <c r="H21" i="14"/>
  <c r="B31" i="14" s="1"/>
  <c r="D31" i="14" s="1"/>
  <c r="H20" i="14"/>
  <c r="B30" i="14" s="1"/>
  <c r="D30" i="14" s="1"/>
  <c r="H19" i="14"/>
  <c r="B29" i="14" s="1"/>
  <c r="D29" i="14" s="1"/>
  <c r="I13" i="14"/>
  <c r="I10" i="14"/>
  <c r="I9" i="7"/>
  <c r="B34" i="10"/>
  <c r="L20" i="10"/>
  <c r="B34" i="9"/>
  <c r="L20" i="9"/>
  <c r="L18" i="8"/>
  <c r="L25" i="8"/>
  <c r="L25" i="7"/>
  <c r="L20" i="12"/>
  <c r="L25" i="12" s="1"/>
  <c r="L26" i="12" s="1"/>
  <c r="L25" i="11"/>
  <c r="L26" i="11" s="1"/>
  <c r="L29" i="12"/>
  <c r="E127" i="12"/>
  <c r="E126" i="12"/>
  <c r="E125" i="12"/>
  <c r="H100" i="12"/>
  <c r="H104" i="12" s="1"/>
  <c r="D84" i="12"/>
  <c r="G83" i="12" s="1"/>
  <c r="F75" i="12"/>
  <c r="G75" i="12" s="1"/>
  <c r="F74" i="12"/>
  <c r="G74" i="12" s="1"/>
  <c r="F73" i="12"/>
  <c r="G73" i="12" s="1"/>
  <c r="F71" i="12"/>
  <c r="G71" i="12" s="1"/>
  <c r="F65" i="12"/>
  <c r="G65" i="12" s="1"/>
  <c r="F64" i="12"/>
  <c r="G64" i="12" s="1"/>
  <c r="F63" i="12"/>
  <c r="G63" i="12" s="1"/>
  <c r="G62" i="12"/>
  <c r="F62" i="12"/>
  <c r="F61" i="12"/>
  <c r="G61" i="12" s="1"/>
  <c r="F59" i="12"/>
  <c r="G59" i="12" s="1"/>
  <c r="G58" i="12"/>
  <c r="F58" i="12"/>
  <c r="F57" i="12"/>
  <c r="G57" i="12" s="1"/>
  <c r="F56" i="12"/>
  <c r="F55" i="12"/>
  <c r="G55" i="12" s="1"/>
  <c r="F54" i="12"/>
  <c r="G54" i="12" s="1"/>
  <c r="G53" i="12"/>
  <c r="F53" i="12"/>
  <c r="E45" i="12"/>
  <c r="D34" i="12"/>
  <c r="I29" i="12"/>
  <c r="I28" i="12"/>
  <c r="H24" i="12"/>
  <c r="H23" i="12"/>
  <c r="B33" i="12" s="1"/>
  <c r="D33" i="12" s="1"/>
  <c r="H22" i="12"/>
  <c r="B32" i="12" s="1"/>
  <c r="D32" i="12" s="1"/>
  <c r="H21" i="12"/>
  <c r="B31" i="12" s="1"/>
  <c r="D31" i="12" s="1"/>
  <c r="H20" i="12"/>
  <c r="B30" i="12" s="1"/>
  <c r="D30" i="12" s="1"/>
  <c r="H19" i="12"/>
  <c r="B29" i="12" s="1"/>
  <c r="D29" i="12" s="1"/>
  <c r="I13" i="12"/>
  <c r="I10" i="12"/>
  <c r="E126" i="11"/>
  <c r="E125" i="11"/>
  <c r="H100" i="11"/>
  <c r="D84" i="11"/>
  <c r="G83" i="11" s="1"/>
  <c r="F75" i="11"/>
  <c r="G75" i="11" s="1"/>
  <c r="F74" i="11"/>
  <c r="G74" i="11" s="1"/>
  <c r="F73" i="11"/>
  <c r="G73" i="11" s="1"/>
  <c r="F71" i="11"/>
  <c r="G71" i="11" s="1"/>
  <c r="F65" i="11"/>
  <c r="G65" i="11" s="1"/>
  <c r="F64" i="11"/>
  <c r="G64" i="11" s="1"/>
  <c r="F63" i="11"/>
  <c r="G63" i="11" s="1"/>
  <c r="F62" i="11"/>
  <c r="G62" i="11" s="1"/>
  <c r="F61" i="11"/>
  <c r="G61" i="11" s="1"/>
  <c r="F59" i="11"/>
  <c r="G59" i="11" s="1"/>
  <c r="G58" i="11"/>
  <c r="F58" i="11"/>
  <c r="F57" i="11"/>
  <c r="G57" i="11" s="1"/>
  <c r="F56" i="11"/>
  <c r="G56" i="11" s="1"/>
  <c r="F55" i="11"/>
  <c r="G55" i="11" s="1"/>
  <c r="F54" i="11"/>
  <c r="G54" i="11" s="1"/>
  <c r="F53" i="11"/>
  <c r="G53" i="11" s="1"/>
  <c r="E45" i="11"/>
  <c r="D34" i="11"/>
  <c r="I29" i="11"/>
  <c r="I28" i="11"/>
  <c r="H24" i="11"/>
  <c r="H23" i="11"/>
  <c r="B33" i="11" s="1"/>
  <c r="D33" i="11" s="1"/>
  <c r="H22" i="11"/>
  <c r="B32" i="11" s="1"/>
  <c r="D32" i="11" s="1"/>
  <c r="H21" i="11"/>
  <c r="B31" i="11" s="1"/>
  <c r="D31" i="11" s="1"/>
  <c r="H20" i="11"/>
  <c r="B30" i="11" s="1"/>
  <c r="D30" i="11" s="1"/>
  <c r="H19" i="11"/>
  <c r="B29" i="11" s="1"/>
  <c r="D29" i="11" s="1"/>
  <c r="I13" i="11"/>
  <c r="I10" i="11"/>
  <c r="I9" i="11"/>
  <c r="E110" i="14" l="1"/>
  <c r="E109" i="14"/>
  <c r="E109" i="12"/>
  <c r="E110" i="12"/>
  <c r="E127" i="11"/>
  <c r="E109" i="11"/>
  <c r="E108" i="11"/>
  <c r="E108" i="15"/>
  <c r="E111" i="15" s="1"/>
  <c r="E146" i="15" s="1"/>
  <c r="E147" i="15" s="1"/>
  <c r="E109" i="15"/>
  <c r="H145" i="15"/>
  <c r="E110" i="15"/>
  <c r="G66" i="15"/>
  <c r="G81" i="15" s="1"/>
  <c r="D34" i="15"/>
  <c r="I28" i="15"/>
  <c r="I30" i="15" s="1"/>
  <c r="I28" i="14"/>
  <c r="I30" i="14" s="1"/>
  <c r="I32" i="14" s="1"/>
  <c r="H25" i="14"/>
  <c r="G56" i="14"/>
  <c r="G66" i="14" s="1"/>
  <c r="G81" i="14" s="1"/>
  <c r="H145" i="14"/>
  <c r="E108" i="14"/>
  <c r="E111" i="14" s="1"/>
  <c r="E146" i="14" s="1"/>
  <c r="E147" i="14" s="1"/>
  <c r="I30" i="12"/>
  <c r="I32" i="12" s="1"/>
  <c r="H25" i="12"/>
  <c r="G56" i="12"/>
  <c r="G66" i="12" s="1"/>
  <c r="G81" i="12" s="1"/>
  <c r="H145" i="12"/>
  <c r="E108" i="12"/>
  <c r="E111" i="12" s="1"/>
  <c r="I30" i="11"/>
  <c r="I32" i="11" s="1"/>
  <c r="G66" i="11"/>
  <c r="H25" i="11"/>
  <c r="E110" i="11"/>
  <c r="H145" i="11"/>
  <c r="C113" i="15" l="1"/>
  <c r="E123" i="15" s="1"/>
  <c r="E128" i="15" s="1"/>
  <c r="C113" i="14"/>
  <c r="E111" i="11"/>
  <c r="E117" i="15"/>
  <c r="E116" i="15"/>
  <c r="E122" i="15"/>
  <c r="E114" i="15"/>
  <c r="E121" i="15"/>
  <c r="E120" i="15"/>
  <c r="E119" i="15"/>
  <c r="E118" i="15"/>
  <c r="I32" i="15"/>
  <c r="I33" i="15"/>
  <c r="C76" i="15" s="1"/>
  <c r="I33" i="14"/>
  <c r="C76" i="14" s="1"/>
  <c r="F76" i="14" s="1"/>
  <c r="G76" i="14" s="1"/>
  <c r="E117" i="14"/>
  <c r="E116" i="14"/>
  <c r="E119" i="14"/>
  <c r="E123" i="14"/>
  <c r="E128" i="14" s="1"/>
  <c r="E115" i="14"/>
  <c r="E122" i="14"/>
  <c r="E114" i="14"/>
  <c r="E121" i="14"/>
  <c r="E120" i="14"/>
  <c r="E118" i="14"/>
  <c r="I33" i="12"/>
  <c r="C76" i="12" s="1"/>
  <c r="F76" i="12" s="1"/>
  <c r="G76" i="12" s="1"/>
  <c r="E146" i="12"/>
  <c r="E147" i="12" s="1"/>
  <c r="C113" i="12"/>
  <c r="I33" i="11"/>
  <c r="C76" i="11" s="1"/>
  <c r="C77" i="11" s="1"/>
  <c r="F77" i="11" s="1"/>
  <c r="G77" i="11" s="1"/>
  <c r="E146" i="11"/>
  <c r="E147" i="11" s="1"/>
  <c r="C113" i="11"/>
  <c r="E115" i="15" l="1"/>
  <c r="E135" i="15"/>
  <c r="E142" i="15"/>
  <c r="C77" i="15"/>
  <c r="F77" i="15" s="1"/>
  <c r="G77" i="15" s="1"/>
  <c r="F76" i="15"/>
  <c r="G76" i="15" s="1"/>
  <c r="G78" i="15" s="1"/>
  <c r="G82" i="15" s="1"/>
  <c r="G84" i="15" s="1"/>
  <c r="E168" i="15" s="1"/>
  <c r="H146" i="15"/>
  <c r="C132" i="15"/>
  <c r="E133" i="15" s="1"/>
  <c r="C139" i="15"/>
  <c r="E140" i="15" s="1"/>
  <c r="C77" i="14"/>
  <c r="F77" i="14" s="1"/>
  <c r="G77" i="14" s="1"/>
  <c r="G78" i="14"/>
  <c r="G82" i="14" s="1"/>
  <c r="G84" i="14" s="1"/>
  <c r="E168" i="14" s="1"/>
  <c r="E135" i="14"/>
  <c r="E142" i="14"/>
  <c r="H146" i="14"/>
  <c r="C132" i="14"/>
  <c r="E133" i="14" s="1"/>
  <c r="C139" i="14"/>
  <c r="E140" i="14" s="1"/>
  <c r="C77" i="12"/>
  <c r="F77" i="12" s="1"/>
  <c r="G77" i="12" s="1"/>
  <c r="G78" i="12" s="1"/>
  <c r="G82" i="12" s="1"/>
  <c r="G84" i="12" s="1"/>
  <c r="E168" i="12" s="1"/>
  <c r="E117" i="12"/>
  <c r="E116" i="12"/>
  <c r="E123" i="12"/>
  <c r="E128" i="12" s="1"/>
  <c r="E115" i="12"/>
  <c r="E122" i="12"/>
  <c r="E114" i="12"/>
  <c r="E121" i="12"/>
  <c r="E118" i="12"/>
  <c r="E120" i="12"/>
  <c r="E119" i="12"/>
  <c r="F76" i="11"/>
  <c r="G76" i="11" s="1"/>
  <c r="G78" i="11" s="1"/>
  <c r="G82" i="11" s="1"/>
  <c r="G84" i="11" s="1"/>
  <c r="E168" i="11" s="1"/>
  <c r="E117" i="11"/>
  <c r="E116" i="11"/>
  <c r="E123" i="11"/>
  <c r="E128" i="11" s="1"/>
  <c r="E115" i="11"/>
  <c r="E122" i="11"/>
  <c r="E114" i="11"/>
  <c r="E120" i="11"/>
  <c r="E121" i="11"/>
  <c r="E119" i="11"/>
  <c r="E118" i="11"/>
  <c r="E134" i="15" l="1"/>
  <c r="E137" i="15" s="1"/>
  <c r="E141" i="15"/>
  <c r="E144" i="15" s="1"/>
  <c r="E148" i="15" s="1"/>
  <c r="H147" i="15" s="1"/>
  <c r="H148" i="15" s="1"/>
  <c r="E141" i="14"/>
  <c r="E144" i="14"/>
  <c r="E134" i="14"/>
  <c r="E137" i="14" s="1"/>
  <c r="E135" i="12"/>
  <c r="E142" i="12"/>
  <c r="H146" i="12"/>
  <c r="C139" i="12"/>
  <c r="E140" i="12" s="1"/>
  <c r="C132" i="12"/>
  <c r="E133" i="12" s="1"/>
  <c r="C132" i="11"/>
  <c r="E133" i="11" s="1"/>
  <c r="H146" i="11"/>
  <c r="C139" i="11"/>
  <c r="E140" i="11" s="1"/>
  <c r="E135" i="11"/>
  <c r="E142" i="11"/>
  <c r="E167" i="15" l="1"/>
  <c r="C155" i="15"/>
  <c r="E148" i="14"/>
  <c r="H147" i="14" s="1"/>
  <c r="H148" i="14" s="1"/>
  <c r="E134" i="12"/>
  <c r="E137" i="12" s="1"/>
  <c r="E141" i="12"/>
  <c r="E144" i="12" s="1"/>
  <c r="E141" i="11"/>
  <c r="E144" i="11" s="1"/>
  <c r="E134" i="11"/>
  <c r="E137" i="11" s="1"/>
  <c r="E148" i="12" l="1"/>
  <c r="H147" i="12" s="1"/>
  <c r="H148" i="12" s="1"/>
  <c r="C155" i="12" s="1"/>
  <c r="E155" i="15"/>
  <c r="C156" i="15" s="1"/>
  <c r="E156" i="15" s="1"/>
  <c r="E157" i="15" s="1"/>
  <c r="E167" i="14"/>
  <c r="C155" i="14"/>
  <c r="E148" i="11"/>
  <c r="H147" i="11" s="1"/>
  <c r="H148" i="11" s="1"/>
  <c r="E167" i="12" l="1"/>
  <c r="E164" i="15"/>
  <c r="E160" i="15" s="1"/>
  <c r="E162" i="15" s="1"/>
  <c r="E170" i="15" s="1"/>
  <c r="E172" i="15" s="1"/>
  <c r="E163" i="15"/>
  <c r="E159" i="15" s="1"/>
  <c r="E161" i="15" s="1"/>
  <c r="E169" i="15" s="1"/>
  <c r="E171" i="15" s="1"/>
  <c r="E155" i="14"/>
  <c r="C156" i="14" s="1"/>
  <c r="E156" i="14" s="1"/>
  <c r="E157" i="14" s="1"/>
  <c r="E155" i="12"/>
  <c r="C156" i="12" s="1"/>
  <c r="E156" i="12" s="1"/>
  <c r="E157" i="12" s="1"/>
  <c r="E167" i="11"/>
  <c r="C155" i="11"/>
  <c r="E176" i="15" l="1"/>
  <c r="E174" i="15"/>
  <c r="E175" i="15"/>
  <c r="E173" i="15"/>
  <c r="E164" i="14"/>
  <c r="E160" i="14" s="1"/>
  <c r="E162" i="14" s="1"/>
  <c r="E170" i="14" s="1"/>
  <c r="E172" i="14" s="1"/>
  <c r="E163" i="14"/>
  <c r="E159" i="14" s="1"/>
  <c r="E161" i="14" s="1"/>
  <c r="E169" i="14" s="1"/>
  <c r="E171" i="14" s="1"/>
  <c r="E164" i="12"/>
  <c r="E160" i="12" s="1"/>
  <c r="E162" i="12" s="1"/>
  <c r="E170" i="12" s="1"/>
  <c r="E172" i="12" s="1"/>
  <c r="E163" i="12"/>
  <c r="E159" i="12" s="1"/>
  <c r="E161" i="12" s="1"/>
  <c r="E169" i="12" s="1"/>
  <c r="E171" i="12" s="1"/>
  <c r="E155" i="11"/>
  <c r="C156" i="11" s="1"/>
  <c r="E156" i="11" s="1"/>
  <c r="E157" i="11" s="1"/>
  <c r="E175" i="14" l="1"/>
  <c r="E173" i="14"/>
  <c r="E176" i="14"/>
  <c r="E174" i="14"/>
  <c r="E176" i="12"/>
  <c r="E174" i="12"/>
  <c r="E175" i="12"/>
  <c r="E173" i="12"/>
  <c r="E164" i="11"/>
  <c r="E160" i="11" s="1"/>
  <c r="E162" i="11" s="1"/>
  <c r="E170" i="11" s="1"/>
  <c r="E172" i="11" s="1"/>
  <c r="E163" i="11"/>
  <c r="E159" i="11" s="1"/>
  <c r="E161" i="11" s="1"/>
  <c r="E169" i="11" s="1"/>
  <c r="E171" i="11" s="1"/>
  <c r="E175" i="11" l="1"/>
  <c r="E173" i="11"/>
  <c r="E176" i="11"/>
  <c r="E174" i="11"/>
  <c r="L25" i="10" l="1"/>
  <c r="L26" i="10" s="1"/>
  <c r="E126" i="10"/>
  <c r="E125" i="10"/>
  <c r="H100" i="10"/>
  <c r="G83" i="10"/>
  <c r="E76" i="10"/>
  <c r="F75" i="10"/>
  <c r="G75" i="10" s="1"/>
  <c r="F74" i="10"/>
  <c r="G74" i="10" s="1"/>
  <c r="F73" i="10"/>
  <c r="G73" i="10" s="1"/>
  <c r="F71" i="10"/>
  <c r="G71" i="10" s="1"/>
  <c r="F65" i="10"/>
  <c r="G65" i="10" s="1"/>
  <c r="F64" i="10"/>
  <c r="G64" i="10" s="1"/>
  <c r="F63" i="10"/>
  <c r="G63" i="10" s="1"/>
  <c r="F62" i="10"/>
  <c r="G62" i="10" s="1"/>
  <c r="F61" i="10"/>
  <c r="G61" i="10" s="1"/>
  <c r="F59" i="10"/>
  <c r="G59" i="10" s="1"/>
  <c r="F58" i="10"/>
  <c r="G58" i="10" s="1"/>
  <c r="F57" i="10"/>
  <c r="G57" i="10" s="1"/>
  <c r="F56" i="10"/>
  <c r="F55" i="10"/>
  <c r="G55" i="10" s="1"/>
  <c r="F54" i="10"/>
  <c r="G54" i="10" s="1"/>
  <c r="F53" i="10"/>
  <c r="G53" i="10" s="1"/>
  <c r="E77" i="10"/>
  <c r="D34" i="10"/>
  <c r="B31" i="10"/>
  <c r="D31" i="10" s="1"/>
  <c r="I29" i="10"/>
  <c r="I28" i="10"/>
  <c r="H24" i="10"/>
  <c r="H23" i="10"/>
  <c r="B33" i="10" s="1"/>
  <c r="D33" i="10" s="1"/>
  <c r="H22" i="10"/>
  <c r="B32" i="10" s="1"/>
  <c r="D32" i="10" s="1"/>
  <c r="H21" i="10"/>
  <c r="H20" i="10"/>
  <c r="B30" i="10" s="1"/>
  <c r="D30" i="10" s="1"/>
  <c r="H19" i="10"/>
  <c r="B29" i="10" s="1"/>
  <c r="D29" i="10" s="1"/>
  <c r="I13" i="10"/>
  <c r="I10" i="10"/>
  <c r="E127" i="10" l="1"/>
  <c r="H145" i="10"/>
  <c r="E108" i="10"/>
  <c r="E110" i="10"/>
  <c r="E109" i="10"/>
  <c r="I30" i="10"/>
  <c r="I32" i="10" s="1"/>
  <c r="G56" i="10"/>
  <c r="G66" i="10"/>
  <c r="G81" i="10" s="1"/>
  <c r="H25" i="10"/>
  <c r="E111" i="10" l="1"/>
  <c r="I33" i="10"/>
  <c r="C76" i="10" s="1"/>
  <c r="C113" i="10" l="1"/>
  <c r="E146" i="10"/>
  <c r="E147" i="10" s="1"/>
  <c r="C77" i="10"/>
  <c r="F77" i="10" s="1"/>
  <c r="G77" i="10" s="1"/>
  <c r="F76" i="10"/>
  <c r="G76" i="10" s="1"/>
  <c r="G78" i="10" l="1"/>
  <c r="G82" i="10" s="1"/>
  <c r="G84" i="10" s="1"/>
  <c r="E168" i="10" s="1"/>
  <c r="E114" i="10"/>
  <c r="E115" i="10"/>
  <c r="E118" i="10"/>
  <c r="E120" i="10"/>
  <c r="E119" i="10"/>
  <c r="E123" i="10"/>
  <c r="E128" i="10" s="1"/>
  <c r="E121" i="10"/>
  <c r="E116" i="10"/>
  <c r="E122" i="10"/>
  <c r="E117" i="10"/>
  <c r="C132" i="10" l="1"/>
  <c r="E133" i="10" s="1"/>
  <c r="E134" i="10" s="1"/>
  <c r="C139" i="10"/>
  <c r="E140" i="10" s="1"/>
  <c r="E141" i="10" s="1"/>
  <c r="H146" i="10"/>
  <c r="E135" i="10"/>
  <c r="E142" i="10"/>
  <c r="E144" i="10" l="1"/>
  <c r="E137" i="10"/>
  <c r="E148" i="10" l="1"/>
  <c r="H147" i="10" s="1"/>
  <c r="H148" i="10" s="1"/>
  <c r="E167" i="10" s="1"/>
  <c r="C155" i="10" l="1"/>
  <c r="E155" i="10" s="1"/>
  <c r="C156" i="10" s="1"/>
  <c r="E156" i="10" s="1"/>
  <c r="E157" i="10" s="1"/>
  <c r="E164" i="10" s="1"/>
  <c r="E160" i="10" s="1"/>
  <c r="E162" i="10" s="1"/>
  <c r="E170" i="10" s="1"/>
  <c r="E172" i="10" s="1"/>
  <c r="E163" i="10" l="1"/>
  <c r="E159" i="10" s="1"/>
  <c r="E161" i="10" s="1"/>
  <c r="E169" i="10" s="1"/>
  <c r="E171" i="10" s="1"/>
  <c r="E173" i="10" s="1"/>
  <c r="E176" i="10"/>
  <c r="E174" i="10"/>
  <c r="E175" i="10" l="1"/>
  <c r="E126" i="9"/>
  <c r="E125" i="9"/>
  <c r="H100" i="9"/>
  <c r="H145" i="9" s="1"/>
  <c r="G83" i="9"/>
  <c r="E76" i="9"/>
  <c r="F75" i="9"/>
  <c r="G75" i="9" s="1"/>
  <c r="F74" i="9"/>
  <c r="G74" i="9" s="1"/>
  <c r="F73" i="9"/>
  <c r="G73" i="9" s="1"/>
  <c r="F71" i="9"/>
  <c r="G71" i="9" s="1"/>
  <c r="F65" i="9"/>
  <c r="G65" i="9" s="1"/>
  <c r="F64" i="9"/>
  <c r="G64" i="9" s="1"/>
  <c r="F63" i="9"/>
  <c r="G63" i="9" s="1"/>
  <c r="F62" i="9"/>
  <c r="G62" i="9" s="1"/>
  <c r="F61" i="9"/>
  <c r="G61" i="9" s="1"/>
  <c r="F59" i="9"/>
  <c r="G59" i="9" s="1"/>
  <c r="F58" i="9"/>
  <c r="G58" i="9" s="1"/>
  <c r="F57" i="9"/>
  <c r="G57" i="9" s="1"/>
  <c r="F56" i="9"/>
  <c r="F55" i="9"/>
  <c r="G55" i="9" s="1"/>
  <c r="F54" i="9"/>
  <c r="G54" i="9" s="1"/>
  <c r="F53" i="9"/>
  <c r="G53" i="9" s="1"/>
  <c r="E77" i="9"/>
  <c r="D34" i="9"/>
  <c r="B32" i="9"/>
  <c r="D32" i="9" s="1"/>
  <c r="I29" i="9"/>
  <c r="I28" i="9"/>
  <c r="L26" i="9"/>
  <c r="H24" i="9"/>
  <c r="H23" i="9"/>
  <c r="B33" i="9" s="1"/>
  <c r="D33" i="9" s="1"/>
  <c r="H22" i="9"/>
  <c r="H21" i="9"/>
  <c r="B31" i="9" s="1"/>
  <c r="D31" i="9" s="1"/>
  <c r="H20" i="9"/>
  <c r="H19" i="9"/>
  <c r="B29" i="9" s="1"/>
  <c r="D29" i="9" s="1"/>
  <c r="I13" i="9"/>
  <c r="I10" i="9"/>
  <c r="I9" i="9"/>
  <c r="E127" i="9" l="1"/>
  <c r="G56" i="9"/>
  <c r="I30" i="9"/>
  <c r="I32" i="9" s="1"/>
  <c r="H25" i="9"/>
  <c r="G66" i="9"/>
  <c r="G81" i="9" s="1"/>
  <c r="E108" i="9"/>
  <c r="E111" i="9" s="1"/>
  <c r="E146" i="9" s="1"/>
  <c r="E147" i="9" s="1"/>
  <c r="B30" i="9"/>
  <c r="D30" i="9" s="1"/>
  <c r="E109" i="9"/>
  <c r="E110" i="9"/>
  <c r="I33" i="9" l="1"/>
  <c r="C76" i="9" s="1"/>
  <c r="C77" i="9" s="1"/>
  <c r="F77" i="9" s="1"/>
  <c r="G77" i="9" s="1"/>
  <c r="C113" i="9"/>
  <c r="E117" i="9" l="1"/>
  <c r="E120" i="9"/>
  <c r="E119" i="9"/>
  <c r="F76" i="9"/>
  <c r="G76" i="9" s="1"/>
  <c r="G78" i="9" s="1"/>
  <c r="G82" i="9" s="1"/>
  <c r="G84" i="9" s="1"/>
  <c r="E168" i="9" s="1"/>
  <c r="E123" i="9"/>
  <c r="E128" i="9" s="1"/>
  <c r="E115" i="9"/>
  <c r="E121" i="9"/>
  <c r="E116" i="9"/>
  <c r="E122" i="9"/>
  <c r="E118" i="9"/>
  <c r="E114" i="9"/>
  <c r="E135" i="9" l="1"/>
  <c r="E142" i="9"/>
  <c r="H146" i="9"/>
  <c r="C132" i="9"/>
  <c r="E133" i="9" s="1"/>
  <c r="C139" i="9"/>
  <c r="E140" i="9" s="1"/>
  <c r="E141" i="9" l="1"/>
  <c r="E144" i="9" s="1"/>
  <c r="E134" i="9"/>
  <c r="E137" i="9" s="1"/>
  <c r="E148" i="9" l="1"/>
  <c r="H147" i="9" s="1"/>
  <c r="H148" i="9" s="1"/>
  <c r="E167" i="9" s="1"/>
  <c r="C155" i="9"/>
  <c r="E155" i="9" l="1"/>
  <c r="C156" i="9" s="1"/>
  <c r="E156" i="9" s="1"/>
  <c r="E157" i="9" s="1"/>
  <c r="E164" i="9" l="1"/>
  <c r="E160" i="9" s="1"/>
  <c r="E162" i="9" s="1"/>
  <c r="E170" i="9" s="1"/>
  <c r="E172" i="9" s="1"/>
  <c r="E163" i="9"/>
  <c r="E159" i="9" s="1"/>
  <c r="E161" i="9" s="1"/>
  <c r="E169" i="9" s="1"/>
  <c r="E171" i="9" s="1"/>
  <c r="E175" i="9" l="1"/>
  <c r="E173" i="9"/>
  <c r="E176" i="9"/>
  <c r="E174" i="9"/>
  <c r="E126" i="8" l="1"/>
  <c r="E125" i="8"/>
  <c r="H100" i="8"/>
  <c r="D84" i="8"/>
  <c r="G83" i="8" s="1"/>
  <c r="E76" i="8"/>
  <c r="F75" i="8"/>
  <c r="G75" i="8" s="1"/>
  <c r="F74" i="8"/>
  <c r="G74" i="8" s="1"/>
  <c r="F73" i="8"/>
  <c r="G73" i="8" s="1"/>
  <c r="F71" i="8"/>
  <c r="G71" i="8" s="1"/>
  <c r="F65" i="8"/>
  <c r="G65" i="8" s="1"/>
  <c r="F64" i="8"/>
  <c r="G64" i="8" s="1"/>
  <c r="F63" i="8"/>
  <c r="G63" i="8" s="1"/>
  <c r="F62" i="8"/>
  <c r="G62" i="8" s="1"/>
  <c r="F61" i="8"/>
  <c r="G61" i="8" s="1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F53" i="8"/>
  <c r="G53" i="8" s="1"/>
  <c r="E45" i="8"/>
  <c r="E77" i="8" s="1"/>
  <c r="D34" i="8"/>
  <c r="B31" i="8"/>
  <c r="D31" i="8" s="1"/>
  <c r="I29" i="8"/>
  <c r="I28" i="8"/>
  <c r="L26" i="8"/>
  <c r="H24" i="8"/>
  <c r="H23" i="8"/>
  <c r="B33" i="8" s="1"/>
  <c r="D33" i="8" s="1"/>
  <c r="H22" i="8"/>
  <c r="B32" i="8" s="1"/>
  <c r="D32" i="8" s="1"/>
  <c r="H21" i="8"/>
  <c r="H20" i="8"/>
  <c r="B30" i="8" s="1"/>
  <c r="D30" i="8" s="1"/>
  <c r="H19" i="8"/>
  <c r="B29" i="8" s="1"/>
  <c r="D29" i="8" s="1"/>
  <c r="I13" i="8"/>
  <c r="I10" i="8"/>
  <c r="I9" i="8"/>
  <c r="I10" i="7"/>
  <c r="D34" i="7"/>
  <c r="L26" i="7"/>
  <c r="I29" i="7"/>
  <c r="I28" i="7"/>
  <c r="D32" i="7"/>
  <c r="D33" i="7"/>
  <c r="B32" i="7"/>
  <c r="B33" i="7"/>
  <c r="H23" i="7"/>
  <c r="H20" i="7"/>
  <c r="B30" i="7" s="1"/>
  <c r="D30" i="7" s="1"/>
  <c r="H21" i="7"/>
  <c r="B31" i="7" s="1"/>
  <c r="D31" i="7" s="1"/>
  <c r="H22" i="7"/>
  <c r="H24" i="7"/>
  <c r="H19" i="7"/>
  <c r="B29" i="7" s="1"/>
  <c r="D29" i="7" s="1"/>
  <c r="E127" i="8" l="1"/>
  <c r="H145" i="8"/>
  <c r="E108" i="8"/>
  <c r="E110" i="8"/>
  <c r="E109" i="8"/>
  <c r="H25" i="7"/>
  <c r="I30" i="8"/>
  <c r="I32" i="8" s="1"/>
  <c r="G66" i="8"/>
  <c r="G81" i="8" s="1"/>
  <c r="H25" i="8"/>
  <c r="H100" i="7"/>
  <c r="E111" i="8" l="1"/>
  <c r="I33" i="8"/>
  <c r="C76" i="8" s="1"/>
  <c r="C113" i="8" l="1"/>
  <c r="E146" i="8"/>
  <c r="E147" i="8" s="1"/>
  <c r="C77" i="8"/>
  <c r="F77" i="8" s="1"/>
  <c r="G77" i="8" s="1"/>
  <c r="F76" i="8"/>
  <c r="G76" i="8" s="1"/>
  <c r="F56" i="7"/>
  <c r="E123" i="8" l="1"/>
  <c r="E128" i="8" s="1"/>
  <c r="E121" i="8"/>
  <c r="E115" i="8"/>
  <c r="E120" i="8"/>
  <c r="E114" i="8"/>
  <c r="E117" i="8"/>
  <c r="E122" i="8"/>
  <c r="E119" i="8"/>
  <c r="E116" i="8"/>
  <c r="E118" i="8"/>
  <c r="G78" i="8"/>
  <c r="G82" i="8" s="1"/>
  <c r="G84" i="8" s="1"/>
  <c r="E168" i="8" s="1"/>
  <c r="F74" i="7"/>
  <c r="G74" i="7" s="1"/>
  <c r="E126" i="7"/>
  <c r="E125" i="7"/>
  <c r="E142" i="8" l="1"/>
  <c r="E135" i="8"/>
  <c r="C139" i="8"/>
  <c r="E140" i="8" s="1"/>
  <c r="E141" i="8" s="1"/>
  <c r="E144" i="8" s="1"/>
  <c r="H146" i="8"/>
  <c r="C132" i="8"/>
  <c r="E133" i="8" s="1"/>
  <c r="E127" i="7"/>
  <c r="H104" i="7"/>
  <c r="E134" i="8" l="1"/>
  <c r="E137" i="8"/>
  <c r="E148" i="8" s="1"/>
  <c r="H147" i="8" s="1"/>
  <c r="H148" i="8" s="1"/>
  <c r="E109" i="7"/>
  <c r="H145" i="7"/>
  <c r="E110" i="7"/>
  <c r="E108" i="7"/>
  <c r="F73" i="7"/>
  <c r="G73" i="7" s="1"/>
  <c r="F75" i="7"/>
  <c r="G75" i="7" s="1"/>
  <c r="F71" i="7"/>
  <c r="G71" i="7" s="1"/>
  <c r="I30" i="7"/>
  <c r="I32" i="7" s="1"/>
  <c r="I33" i="7" s="1"/>
  <c r="E77" i="7"/>
  <c r="E76" i="7"/>
  <c r="E167" i="8" l="1"/>
  <c r="C155" i="8"/>
  <c r="E155" i="8" s="1"/>
  <c r="C156" i="8" s="1"/>
  <c r="E156" i="8" s="1"/>
  <c r="E157" i="8" s="1"/>
  <c r="E164" i="8" s="1"/>
  <c r="E160" i="8" s="1"/>
  <c r="E162" i="8" s="1"/>
  <c r="E170" i="8" s="1"/>
  <c r="E172" i="8" s="1"/>
  <c r="C76" i="7"/>
  <c r="C77" i="7" s="1"/>
  <c r="F77" i="7" s="1"/>
  <c r="G77" i="7" s="1"/>
  <c r="E111" i="7"/>
  <c r="E146" i="7" s="1"/>
  <c r="E147" i="7" s="1"/>
  <c r="F65" i="7"/>
  <c r="G65" i="7" s="1"/>
  <c r="F59" i="7"/>
  <c r="F54" i="7"/>
  <c r="F55" i="7"/>
  <c r="F57" i="7"/>
  <c r="F58" i="7"/>
  <c r="F61" i="7"/>
  <c r="F62" i="7"/>
  <c r="F63" i="7"/>
  <c r="F64" i="7"/>
  <c r="F53" i="7"/>
  <c r="E163" i="8" l="1"/>
  <c r="E159" i="8" s="1"/>
  <c r="E161" i="8" s="1"/>
  <c r="E169" i="8" s="1"/>
  <c r="E171" i="8" s="1"/>
  <c r="E175" i="8" s="1"/>
  <c r="E176" i="8"/>
  <c r="E174" i="8"/>
  <c r="C113" i="7"/>
  <c r="E119" i="7" s="1"/>
  <c r="F76" i="7"/>
  <c r="G76" i="7" s="1"/>
  <c r="G78" i="7" s="1"/>
  <c r="G82" i="7" s="1"/>
  <c r="G83" i="7"/>
  <c r="G64" i="7"/>
  <c r="G63" i="7"/>
  <c r="G57" i="7"/>
  <c r="G58" i="7"/>
  <c r="G59" i="7"/>
  <c r="G62" i="7"/>
  <c r="G55" i="7"/>
  <c r="G53" i="7"/>
  <c r="G61" i="7"/>
  <c r="G54" i="7"/>
  <c r="I13" i="7"/>
  <c r="G56" i="7" s="1"/>
  <c r="E173" i="8" l="1"/>
  <c r="E121" i="7"/>
  <c r="E117" i="7"/>
  <c r="E114" i="7"/>
  <c r="E120" i="7"/>
  <c r="E123" i="7"/>
  <c r="E128" i="7" s="1"/>
  <c r="H146" i="7" s="1"/>
  <c r="E122" i="7"/>
  <c r="E142" i="7" s="1"/>
  <c r="E116" i="7"/>
  <c r="E118" i="7"/>
  <c r="E115" i="7"/>
  <c r="G66" i="7"/>
  <c r="G81" i="7" s="1"/>
  <c r="G84" i="7" s="1"/>
  <c r="E135" i="7" l="1"/>
  <c r="C132" i="7"/>
  <c r="E133" i="7" s="1"/>
  <c r="E134" i="7" s="1"/>
  <c r="C139" i="7"/>
  <c r="E140" i="7" s="1"/>
  <c r="E141" i="7" s="1"/>
  <c r="E144" i="7" s="1"/>
  <c r="E168" i="7"/>
  <c r="E137" i="7" l="1"/>
  <c r="E148" i="7" s="1"/>
  <c r="H147" i="7" s="1"/>
  <c r="H148" i="7" s="1"/>
  <c r="E167" i="7" l="1"/>
  <c r="C155" i="7"/>
  <c r="E155" i="7" s="1"/>
  <c r="C156" i="7" s="1"/>
  <c r="E156" i="7" s="1"/>
  <c r="E157" i="7" s="1"/>
  <c r="E164" i="7" s="1"/>
  <c r="E160" i="7" s="1"/>
  <c r="E162" i="7" s="1"/>
  <c r="E170" i="7" s="1"/>
  <c r="E172" i="7" l="1"/>
  <c r="E174" i="7" s="1"/>
  <c r="E163" i="7"/>
  <c r="E159" i="7" s="1"/>
  <c r="E161" i="7" s="1"/>
  <c r="E169" i="7" s="1"/>
  <c r="E171" i="7" s="1"/>
  <c r="E173" i="7" s="1"/>
  <c r="E176" i="7" l="1"/>
  <c r="E175" i="7"/>
</calcChain>
</file>

<file path=xl/comments1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2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3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4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5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6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7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8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sharedStrings.xml><?xml version="1.0" encoding="utf-8"?>
<sst xmlns="http://schemas.openxmlformats.org/spreadsheetml/2006/main" count="1702" uniqueCount="200">
  <si>
    <t>Objeto:</t>
  </si>
  <si>
    <t>Dias letivos no ano:</t>
  </si>
  <si>
    <t>Média de dias letivos mês:</t>
  </si>
  <si>
    <t>Total de Usuários:</t>
  </si>
  <si>
    <t>Início</t>
  </si>
  <si>
    <t>Término</t>
  </si>
  <si>
    <t>Total (h)</t>
  </si>
  <si>
    <t xml:space="preserve"> </t>
  </si>
  <si>
    <t>Valor residual</t>
  </si>
  <si>
    <t xml:space="preserve">Periodicidade </t>
  </si>
  <si>
    <t>Manutenção</t>
  </si>
  <si>
    <t>Licenciamento</t>
  </si>
  <si>
    <t>DPVAT</t>
  </si>
  <si>
    <t>Consumo por</t>
  </si>
  <si>
    <t>troca</t>
  </si>
  <si>
    <t>Dados dos Recursos Humanos</t>
  </si>
  <si>
    <t>Data-Base</t>
  </si>
  <si>
    <t>Salário base motorista</t>
  </si>
  <si>
    <t>Salário mínimo nacional</t>
  </si>
  <si>
    <t>Intervalo intrajornada</t>
  </si>
  <si>
    <t>Horas noturnas</t>
  </si>
  <si>
    <t>Vales</t>
  </si>
  <si>
    <t>Alimentação</t>
  </si>
  <si>
    <t>Plano de saúde</t>
  </si>
  <si>
    <t>Nº</t>
  </si>
  <si>
    <t>Valor</t>
  </si>
  <si>
    <t>Desconto</t>
  </si>
  <si>
    <t>Horas extras</t>
  </si>
  <si>
    <t>Máximo/dia</t>
  </si>
  <si>
    <t>Percentuais por tipo de desligamento</t>
  </si>
  <si>
    <t>Sem justa causa indenizado</t>
  </si>
  <si>
    <t>Sem justa causa trabalhado</t>
  </si>
  <si>
    <t>Com justa causa</t>
  </si>
  <si>
    <t>Férias</t>
  </si>
  <si>
    <t>Salário-Base</t>
  </si>
  <si>
    <t>Adicional Noturno</t>
  </si>
  <si>
    <t>Adicional de Hora Noturna Reduzida</t>
  </si>
  <si>
    <t>Reflexos do NA no DSR</t>
  </si>
  <si>
    <t>%</t>
  </si>
  <si>
    <t>R$</t>
  </si>
  <si>
    <t>13 º</t>
  </si>
  <si>
    <t>Adicional de Férias</t>
  </si>
  <si>
    <t xml:space="preserve">Total </t>
  </si>
  <si>
    <t>Base de cálculo</t>
  </si>
  <si>
    <t>INSS</t>
  </si>
  <si>
    <t>Salário Educação</t>
  </si>
  <si>
    <t>SAT</t>
  </si>
  <si>
    <t>SESC ou SESI</t>
  </si>
  <si>
    <t>SENAI - SENAC</t>
  </si>
  <si>
    <t>SEBRAE</t>
  </si>
  <si>
    <t>INCRA</t>
  </si>
  <si>
    <t xml:space="preserve">Subtotal </t>
  </si>
  <si>
    <t>FGTS</t>
  </si>
  <si>
    <t>Total</t>
  </si>
  <si>
    <t>Auxílio-Refeição/ Alimentação</t>
  </si>
  <si>
    <t>Assistência Médica e Familiar (Plano de Saúde)</t>
  </si>
  <si>
    <t>Aviso Prévio Indenizado</t>
  </si>
  <si>
    <t>Incidência do FGTS sobre o Aviso Prévio</t>
  </si>
  <si>
    <t xml:space="preserve">Multa do FGTS e contribuição social sobre </t>
  </si>
  <si>
    <t xml:space="preserve">o Aviso Prévio Indenizado </t>
  </si>
  <si>
    <t>Aviso Prévio Trabalhado</t>
  </si>
  <si>
    <t>Incidência dos encargos do submódulo 2.2</t>
  </si>
  <si>
    <t>o aviso</t>
  </si>
  <si>
    <t>Base cálculo</t>
  </si>
  <si>
    <t>Percentual</t>
  </si>
  <si>
    <t xml:space="preserve">Custos indiretos </t>
  </si>
  <si>
    <t>Lucro</t>
  </si>
  <si>
    <t xml:space="preserve">Tributos </t>
  </si>
  <si>
    <t>Custo Final</t>
  </si>
  <si>
    <t>Custo com veículo</t>
  </si>
  <si>
    <t>diesel</t>
  </si>
  <si>
    <t>Quilometragem diária (km):</t>
  </si>
  <si>
    <t>Quilometragem mensal (km):</t>
  </si>
  <si>
    <t>Quilometragem anual (km):</t>
  </si>
  <si>
    <t>Base de cálculo R$</t>
  </si>
  <si>
    <t>Meses de Transporte:</t>
  </si>
  <si>
    <t>TOTAL</t>
  </si>
  <si>
    <t xml:space="preserve">Planilha de Custos por km rodado </t>
  </si>
  <si>
    <t>DADOS DO TRAJETO</t>
  </si>
  <si>
    <t>HORÁRIO</t>
  </si>
  <si>
    <t>DADOS E CUSTOS DO VEÍCULO</t>
  </si>
  <si>
    <t>DADOS E CUSTOS COM MOTORISTA</t>
  </si>
  <si>
    <t>RESUMO SOBRE OS CUSTOS</t>
  </si>
  <si>
    <t>Quadro 1</t>
  </si>
  <si>
    <t>Quadro 2</t>
  </si>
  <si>
    <t>Quadro 3</t>
  </si>
  <si>
    <t xml:space="preserve">Seguro </t>
  </si>
  <si>
    <t>Quadro 2 - Despesas financeiras</t>
  </si>
  <si>
    <t xml:space="preserve">Combustível </t>
  </si>
  <si>
    <t>Vida útil adotada</t>
  </si>
  <si>
    <t>Idade do veículo</t>
  </si>
  <si>
    <t xml:space="preserve">Valor do Veículo </t>
  </si>
  <si>
    <t>Anos para a depreciação total</t>
  </si>
  <si>
    <t>Capacidade mínima</t>
  </si>
  <si>
    <t xml:space="preserve"> Dados sobre o veículo de referência</t>
  </si>
  <si>
    <t>Quadro 1 - Despesas com manutenção</t>
  </si>
  <si>
    <t>Aferição tacógrafo</t>
  </si>
  <si>
    <t>Inspeção veícular</t>
  </si>
  <si>
    <t>Quadro 3 - Despesas com combustível</t>
  </si>
  <si>
    <t>Consumo na cidade (km/L)</t>
  </si>
  <si>
    <t>1 - (ida - manhã)</t>
  </si>
  <si>
    <t>2 - (volta - manhã)</t>
  </si>
  <si>
    <t xml:space="preserve">produto anticor./anticong. </t>
  </si>
  <si>
    <t xml:space="preserve">Valor </t>
  </si>
  <si>
    <t>da troca (km)</t>
  </si>
  <si>
    <t>óleo motor (L)</t>
  </si>
  <si>
    <t>Filtro de combustível (UN)</t>
  </si>
  <si>
    <t>Filtro do ar (UN)</t>
  </si>
  <si>
    <t>Fluído de freios (L)</t>
  </si>
  <si>
    <t>Sist. Arrefecimento (L)</t>
  </si>
  <si>
    <t>óleo de trasmissão (L)</t>
  </si>
  <si>
    <t>filtro de óleo (UN)</t>
  </si>
  <si>
    <t>unitário (R$)</t>
  </si>
  <si>
    <t xml:space="preserve">Valor total </t>
  </si>
  <si>
    <t>por troca (R$)</t>
  </si>
  <si>
    <t>Valor  mensal</t>
  </si>
  <si>
    <t>(R$)</t>
  </si>
  <si>
    <t xml:space="preserve">Disco tacógrafo </t>
  </si>
  <si>
    <t>cada 7 dias (3 un. mês)</t>
  </si>
  <si>
    <t>Depreciação por ano (sobre o valor atual)</t>
  </si>
  <si>
    <t>TOTAL MENSAL</t>
  </si>
  <si>
    <t>Quantidade de litros (mês)</t>
  </si>
  <si>
    <t>óleo hidráulico (L)</t>
  </si>
  <si>
    <t xml:space="preserve"> Resumo  despesas com veículo</t>
  </si>
  <si>
    <t xml:space="preserve">Item </t>
  </si>
  <si>
    <t>Cota</t>
  </si>
  <si>
    <t>Valor mensal</t>
  </si>
  <si>
    <t>anual</t>
  </si>
  <si>
    <t>Valor anual</t>
  </si>
  <si>
    <t>Depreciação anual</t>
  </si>
  <si>
    <t>Taxa de uso efetivo</t>
  </si>
  <si>
    <t>TOTAL ACUMULADO EFETIVO</t>
  </si>
  <si>
    <t>Disponível (dia)</t>
  </si>
  <si>
    <t>Percurso diário</t>
  </si>
  <si>
    <t>Máx. de horas mensais permitidas (h)</t>
  </si>
  <si>
    <t>Percurso efetivo (dia)</t>
  </si>
  <si>
    <t>Acumulado (dia)</t>
  </si>
  <si>
    <t xml:space="preserve"> Horas mensais efetivo (h)</t>
  </si>
  <si>
    <t>horas mensais disponível (h)</t>
  </si>
  <si>
    <t>Total (Efetivo + Disponível) - (h)</t>
  </si>
  <si>
    <t>Descanso remunerado (25% do total)</t>
  </si>
  <si>
    <t>Horas de percurso efetivo e disponível</t>
  </si>
  <si>
    <t>Remun. Cap. ( selic. 2,0%)</t>
  </si>
  <si>
    <t>Taxa de uso</t>
  </si>
  <si>
    <t>efetivo</t>
  </si>
  <si>
    <t>BDI - Custos indiretos, lucro e tributos lucro real</t>
  </si>
  <si>
    <t>Resumo de despesas com motorista</t>
  </si>
  <si>
    <t xml:space="preserve">Quadro 1 - Composição da Remuneração </t>
  </si>
  <si>
    <t>Quadro 2 - Encargos e Benefícios Anuais, Mensais e Diários</t>
  </si>
  <si>
    <t>Quadro 3 - Provisão para Rescisão</t>
  </si>
  <si>
    <t xml:space="preserve">13º Salário e Adicional de Férias </t>
  </si>
  <si>
    <t>Encargos Previdenciários, (FGTS) e outras contribuições</t>
  </si>
  <si>
    <t>Benefícios Mensais e Diários</t>
  </si>
  <si>
    <t>TOTAL MENSAL QUADRO 1</t>
  </si>
  <si>
    <t>TOTAL MENSAL QUADRO 2</t>
  </si>
  <si>
    <t>TOTAL MENSAL QUADRO 3</t>
  </si>
  <si>
    <t>TOTAL (MÊS)</t>
  </si>
  <si>
    <t xml:space="preserve">Quadro 1 </t>
  </si>
  <si>
    <t xml:space="preserve">Quadro 3 </t>
  </si>
  <si>
    <t xml:space="preserve">Desconto sobre 13º Salário e adicional de Férias </t>
  </si>
  <si>
    <t>Simples</t>
  </si>
  <si>
    <t>Demissão por Justa Causa</t>
  </si>
  <si>
    <t>óleo diferencial traseiro</t>
  </si>
  <si>
    <t>Lucro Real</t>
  </si>
  <si>
    <t>Total de tributos para Lucro Real</t>
  </si>
  <si>
    <t>Total de tributos para Simples</t>
  </si>
  <si>
    <t>TOTAL  PARA SIMPLES</t>
  </si>
  <si>
    <t>TOTAL  PARA LUCRO REAL</t>
  </si>
  <si>
    <t>BDI (SIMPLES)</t>
  </si>
  <si>
    <t>BDI (LUCRO REAL)</t>
  </si>
  <si>
    <t>Custo mensal (SIMPLES)</t>
  </si>
  <si>
    <t>Custo mensal (LUCRO REAL)</t>
  </si>
  <si>
    <t>Custo por Km (SIMPLES)</t>
  </si>
  <si>
    <t>Custo por Km (LUCRO REAL)</t>
  </si>
  <si>
    <t>Custo mensal por aluno (SIMPLES)</t>
  </si>
  <si>
    <t>Custo mensal por aluno (LUCRO REAL)</t>
  </si>
  <si>
    <t xml:space="preserve">Pneus (UN) </t>
  </si>
  <si>
    <t>Ano  Modelo</t>
  </si>
  <si>
    <t>Custo com motorista  (considerando a taxa de uso efetivo)</t>
  </si>
  <si>
    <t>TRAJETO 5</t>
  </si>
  <si>
    <t>Trajeto 5</t>
  </si>
  <si>
    <t xml:space="preserve">Preço p/ litro de combustível </t>
  </si>
  <si>
    <t>2021/2022</t>
  </si>
  <si>
    <t>CCT-SINDITRANS</t>
  </si>
  <si>
    <t>3 - (ida - tarde)</t>
  </si>
  <si>
    <t>4 - (volta - tarde)</t>
  </si>
  <si>
    <t>5 - (ida - noite)</t>
  </si>
  <si>
    <t>6 - (volta - noite)</t>
  </si>
  <si>
    <t>4 - (volta - noite)</t>
  </si>
  <si>
    <t>1 - (ida - tarde)</t>
  </si>
  <si>
    <t>2 - (volta - noite)</t>
  </si>
  <si>
    <t>Média preços veiculo de 28 lugares</t>
  </si>
  <si>
    <t>Média preços veiculo de 15 lugares</t>
  </si>
  <si>
    <t>2 - (ida - tarde)</t>
  </si>
  <si>
    <t>3 - (volta - noite)</t>
  </si>
  <si>
    <t>TRAJETO 1</t>
  </si>
  <si>
    <t>TRAJETO 2</t>
  </si>
  <si>
    <t>TRAJETO 8</t>
  </si>
  <si>
    <t>TRAJETO 7</t>
  </si>
  <si>
    <t>TRAJETO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</si>
</sst>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0"/>
      <color rgb="FF4D4D5B"/>
      <name val="Century Gothic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3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6" fillId="2" borderId="16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6" fillId="2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3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/>
    <xf numFmtId="2" fontId="0" fillId="0" borderId="0" xfId="0" applyNumberFormat="1" applyFill="1" applyBorder="1" applyAlignment="1">
      <alignment horizontal="center"/>
    </xf>
    <xf numFmtId="9" fontId="0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10" fontId="1" fillId="0" borderId="0" xfId="0" applyNumberFormat="1" applyFont="1" applyFill="1" applyBorder="1" applyAlignment="1">
      <alignment horizontal="right"/>
    </xf>
    <xf numFmtId="10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/>
    <xf numFmtId="8" fontId="0" fillId="0" borderId="0" xfId="0" applyNumberFormat="1" applyFill="1" applyBorder="1"/>
    <xf numFmtId="2" fontId="1" fillId="0" borderId="0" xfId="0" applyNumberFormat="1" applyFont="1" applyFill="1" applyBorder="1"/>
    <xf numFmtId="9" fontId="0" fillId="0" borderId="0" xfId="0" applyNumberFormat="1" applyFill="1" applyBorder="1"/>
    <xf numFmtId="9" fontId="0" fillId="0" borderId="0" xfId="0" applyNumberFormat="1" applyFill="1" applyBorder="1" applyAlignment="1"/>
    <xf numFmtId="2" fontId="0" fillId="0" borderId="0" xfId="0" applyNumberFormat="1" applyFill="1" applyBorder="1" applyAlignment="1"/>
    <xf numFmtId="2" fontId="1" fillId="0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20" fontId="7" fillId="0" borderId="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8" fontId="7" fillId="0" borderId="0" xfId="0" applyNumberFormat="1" applyFont="1" applyFill="1" applyBorder="1" applyAlignment="1"/>
    <xf numFmtId="0" fontId="6" fillId="0" borderId="0" xfId="0" applyFont="1" applyBorder="1" applyAlignment="1">
      <alignment horizontal="right"/>
    </xf>
    <xf numFmtId="2" fontId="7" fillId="0" borderId="0" xfId="0" applyNumberFormat="1" applyFont="1" applyBorder="1"/>
    <xf numFmtId="164" fontId="6" fillId="0" borderId="0" xfId="0" applyNumberFormat="1" applyFont="1" applyBorder="1" applyAlignment="1">
      <alignment horizontal="center"/>
    </xf>
    <xf numFmtId="0" fontId="0" fillId="0" borderId="43" xfId="0" applyBorder="1"/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7" xfId="0" applyNumberFormat="1" applyFont="1" applyFill="1" applyBorder="1" applyAlignment="1">
      <alignment horizontal="center"/>
    </xf>
    <xf numFmtId="0" fontId="7" fillId="0" borderId="16" xfId="0" applyFont="1" applyFill="1" applyBorder="1"/>
    <xf numFmtId="3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6" fillId="0" borderId="23" xfId="0" applyNumberFormat="1" applyFont="1" applyFill="1" applyBorder="1" applyAlignment="1">
      <alignment horizontal="center"/>
    </xf>
    <xf numFmtId="164" fontId="6" fillId="0" borderId="17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9" fontId="7" fillId="0" borderId="22" xfId="0" applyNumberFormat="1" applyFont="1" applyFill="1" applyBorder="1" applyAlignment="1">
      <alignment horizontal="center"/>
    </xf>
    <xf numFmtId="164" fontId="7" fillId="0" borderId="22" xfId="0" applyNumberFormat="1" applyFont="1" applyFill="1" applyBorder="1" applyAlignment="1">
      <alignment horizontal="center"/>
    </xf>
    <xf numFmtId="2" fontId="7" fillId="0" borderId="13" xfId="0" applyNumberFormat="1" applyFont="1" applyFill="1" applyBorder="1" applyAlignment="1">
      <alignment horizontal="center"/>
    </xf>
    <xf numFmtId="164" fontId="7" fillId="0" borderId="14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0" fontId="6" fillId="0" borderId="1" xfId="0" applyNumberFormat="1" applyFont="1" applyFill="1" applyBorder="1" applyAlignment="1">
      <alignment horizontal="center"/>
    </xf>
    <xf numFmtId="10" fontId="6" fillId="0" borderId="19" xfId="0" applyNumberFormat="1" applyFont="1" applyFill="1" applyBorder="1" applyAlignment="1">
      <alignment horizontal="center"/>
    </xf>
    <xf numFmtId="10" fontId="7" fillId="0" borderId="22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9" fontId="7" fillId="0" borderId="19" xfId="0" applyNumberFormat="1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20" fontId="7" fillId="0" borderId="27" xfId="0" applyNumberFormat="1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/>
    </xf>
    <xf numFmtId="164" fontId="7" fillId="0" borderId="39" xfId="0" applyNumberFormat="1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164" fontId="7" fillId="0" borderId="49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 vertical="center"/>
    </xf>
    <xf numFmtId="9" fontId="7" fillId="0" borderId="49" xfId="0" applyNumberFormat="1" applyFont="1" applyFill="1" applyBorder="1" applyAlignment="1">
      <alignment horizontal="center"/>
    </xf>
    <xf numFmtId="8" fontId="7" fillId="0" borderId="49" xfId="0" applyNumberFormat="1" applyFont="1" applyFill="1" applyBorder="1" applyAlignment="1">
      <alignment horizontal="center"/>
    </xf>
    <xf numFmtId="8" fontId="7" fillId="0" borderId="17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164" fontId="7" fillId="0" borderId="15" xfId="0" applyNumberFormat="1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/>
    </xf>
    <xf numFmtId="0" fontId="7" fillId="0" borderId="35" xfId="0" applyFont="1" applyFill="1" applyBorder="1"/>
    <xf numFmtId="0" fontId="7" fillId="0" borderId="21" xfId="0" applyFont="1" applyFill="1" applyBorder="1"/>
    <xf numFmtId="20" fontId="7" fillId="0" borderId="16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64" fontId="6" fillId="4" borderId="12" xfId="0" applyNumberFormat="1" applyFont="1" applyFill="1" applyBorder="1" applyAlignment="1">
      <alignment horizontal="center"/>
    </xf>
    <xf numFmtId="164" fontId="6" fillId="4" borderId="58" xfId="0" applyNumberFormat="1" applyFont="1" applyFill="1" applyBorder="1" applyAlignment="1">
      <alignment horizontal="center"/>
    </xf>
    <xf numFmtId="164" fontId="6" fillId="4" borderId="2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0" fontId="11" fillId="0" borderId="0" xfId="0" applyFont="1"/>
    <xf numFmtId="164" fontId="7" fillId="5" borderId="1" xfId="0" applyNumberFormat="1" applyFont="1" applyFill="1" applyBorder="1" applyAlignment="1">
      <alignment horizontal="center"/>
    </xf>
    <xf numFmtId="0" fontId="7" fillId="5" borderId="16" xfId="0" applyFont="1" applyFill="1" applyBorder="1" applyAlignment="1"/>
    <xf numFmtId="0" fontId="7" fillId="5" borderId="1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164" fontId="6" fillId="5" borderId="20" xfId="0" applyNumberFormat="1" applyFont="1" applyFill="1" applyBorder="1" applyAlignment="1">
      <alignment horizontal="center"/>
    </xf>
    <xf numFmtId="8" fontId="7" fillId="5" borderId="17" xfId="0" applyNumberFormat="1" applyFont="1" applyFill="1" applyBorder="1" applyAlignment="1">
      <alignment horizontal="center"/>
    </xf>
    <xf numFmtId="9" fontId="7" fillId="5" borderId="17" xfId="0" applyNumberFormat="1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2" fontId="7" fillId="5" borderId="15" xfId="0" applyNumberFormat="1" applyFont="1" applyFill="1" applyBorder="1" applyAlignment="1">
      <alignment horizontal="center"/>
    </xf>
    <xf numFmtId="2" fontId="7" fillId="5" borderId="17" xfId="0" applyNumberFormat="1" applyFont="1" applyFill="1" applyBorder="1" applyAlignment="1">
      <alignment horizontal="center"/>
    </xf>
    <xf numFmtId="10" fontId="6" fillId="5" borderId="20" xfId="0" applyNumberFormat="1" applyFont="1" applyFill="1" applyBorder="1" applyAlignment="1">
      <alignment horizontal="center"/>
    </xf>
    <xf numFmtId="20" fontId="7" fillId="5" borderId="21" xfId="0" applyNumberFormat="1" applyFont="1" applyFill="1" applyBorder="1" applyAlignment="1">
      <alignment horizontal="center"/>
    </xf>
    <xf numFmtId="8" fontId="7" fillId="5" borderId="1" xfId="0" applyNumberFormat="1" applyFont="1" applyFill="1" applyBorder="1" applyAlignment="1">
      <alignment horizontal="center"/>
    </xf>
    <xf numFmtId="2" fontId="7" fillId="5" borderId="22" xfId="0" applyNumberFormat="1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9" fontId="7" fillId="5" borderId="15" xfId="0" applyNumberFormat="1" applyFont="1" applyFill="1" applyBorder="1" applyAlignment="1">
      <alignment horizontal="center"/>
    </xf>
    <xf numFmtId="9" fontId="6" fillId="5" borderId="20" xfId="0" applyNumberFormat="1" applyFont="1" applyFill="1" applyBorder="1" applyAlignment="1">
      <alignment horizontal="center"/>
    </xf>
    <xf numFmtId="164" fontId="7" fillId="5" borderId="17" xfId="0" applyNumberFormat="1" applyFont="1" applyFill="1" applyBorder="1" applyAlignment="1">
      <alignment horizontal="center"/>
    </xf>
    <xf numFmtId="164" fontId="7" fillId="5" borderId="23" xfId="0" applyNumberFormat="1" applyFont="1" applyFill="1" applyBorder="1" applyAlignment="1">
      <alignment horizontal="center"/>
    </xf>
    <xf numFmtId="164" fontId="7" fillId="5" borderId="14" xfId="0" applyNumberFormat="1" applyFont="1" applyFill="1" applyBorder="1" applyAlignment="1">
      <alignment horizontal="center"/>
    </xf>
    <xf numFmtId="164" fontId="7" fillId="5" borderId="22" xfId="0" applyNumberFormat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43" fontId="6" fillId="5" borderId="18" xfId="1" applyFont="1" applyFill="1" applyBorder="1" applyAlignment="1">
      <alignment horizontal="center"/>
    </xf>
    <xf numFmtId="43" fontId="6" fillId="0" borderId="19" xfId="1" applyFont="1" applyFill="1" applyBorder="1" applyAlignment="1">
      <alignment horizontal="center"/>
    </xf>
    <xf numFmtId="43" fontId="6" fillId="0" borderId="20" xfId="0" applyNumberFormat="1" applyFont="1" applyFill="1" applyBorder="1" applyAlignment="1">
      <alignment horizontal="center"/>
    </xf>
    <xf numFmtId="10" fontId="7" fillId="5" borderId="17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47" xfId="0" applyFont="1" applyFill="1" applyBorder="1" applyAlignment="1">
      <alignment horizontal="right"/>
    </xf>
    <xf numFmtId="0" fontId="6" fillId="0" borderId="41" xfId="0" applyFont="1" applyFill="1" applyBorder="1" applyAlignment="1">
      <alignment horizontal="right"/>
    </xf>
    <xf numFmtId="0" fontId="6" fillId="0" borderId="38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right"/>
    </xf>
    <xf numFmtId="0" fontId="6" fillId="0" borderId="46" xfId="0" applyFont="1" applyFill="1" applyBorder="1" applyAlignment="1">
      <alignment horizontal="right"/>
    </xf>
    <xf numFmtId="0" fontId="6" fillId="0" borderId="31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9" fontId="7" fillId="0" borderId="37" xfId="0" applyNumberFormat="1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36" xfId="0" applyNumberFormat="1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8" xfId="0" applyFont="1" applyFill="1" applyBorder="1" applyAlignment="1">
      <alignment horizontal="right"/>
    </xf>
    <xf numFmtId="0" fontId="6" fillId="0" borderId="19" xfId="0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0" borderId="55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16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22" xfId="0" applyNumberFormat="1" applyFont="1" applyFill="1" applyBorder="1" applyAlignment="1">
      <alignment horizontal="center"/>
    </xf>
    <xf numFmtId="20" fontId="7" fillId="0" borderId="23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20" fontId="6" fillId="0" borderId="20" xfId="0" applyNumberFormat="1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20" fontId="7" fillId="0" borderId="49" xfId="0" applyNumberFormat="1" applyFont="1" applyFill="1" applyBorder="1" applyAlignment="1">
      <alignment horizontal="center"/>
    </xf>
    <xf numFmtId="20" fontId="7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31" zoomScale="120" zoomScaleNormal="120" workbookViewId="0">
      <selection activeCell="E46" sqref="E46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195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f>28*3</f>
        <v>84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68.054090909090917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1497.19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14971.900000000001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0.26041666666666669</v>
      </c>
      <c r="E19" s="304"/>
      <c r="F19" s="304">
        <v>0.2951388888888889</v>
      </c>
      <c r="G19" s="304"/>
      <c r="H19" s="304">
        <f>F19-D19</f>
        <v>3.472222222222221E-2</v>
      </c>
      <c r="I19" s="305"/>
    </row>
    <row r="20" spans="2:12" ht="15.75" x14ac:dyDescent="0.25">
      <c r="B20" s="302" t="s">
        <v>190</v>
      </c>
      <c r="C20" s="280"/>
      <c r="D20" s="303">
        <v>0.47916666666666669</v>
      </c>
      <c r="E20" s="303"/>
      <c r="F20" s="303">
        <v>0.52777777777777779</v>
      </c>
      <c r="G20" s="303"/>
      <c r="H20" s="304">
        <f t="shared" ref="H20:H24" si="0">F20-D20</f>
        <v>4.8611111111111105E-2</v>
      </c>
      <c r="I20" s="305"/>
    </row>
    <row r="21" spans="2:12" ht="15.75" x14ac:dyDescent="0.25">
      <c r="B21" s="308" t="s">
        <v>193</v>
      </c>
      <c r="C21" s="309"/>
      <c r="D21" s="310">
        <v>0.70833333333333337</v>
      </c>
      <c r="E21" s="311"/>
      <c r="F21" s="310">
        <v>0.77083333333333337</v>
      </c>
      <c r="G21" s="311"/>
      <c r="H21" s="304">
        <f t="shared" si="0"/>
        <v>6.25E-2</v>
      </c>
      <c r="I21" s="305"/>
    </row>
    <row r="22" spans="2:12" ht="15.75" x14ac:dyDescent="0.25">
      <c r="B22" s="302" t="s">
        <v>194</v>
      </c>
      <c r="C22" s="280"/>
      <c r="D22" s="303"/>
      <c r="E22" s="303"/>
      <c r="F22" s="303"/>
      <c r="G22" s="303"/>
      <c r="H22" s="304">
        <f t="shared" si="0"/>
        <v>0</v>
      </c>
      <c r="I22" s="305"/>
    </row>
    <row r="23" spans="2:12" ht="15.75" x14ac:dyDescent="0.25">
      <c r="B23" s="308" t="s">
        <v>184</v>
      </c>
      <c r="C23" s="309"/>
      <c r="D23" s="303">
        <v>0.94791666666666663</v>
      </c>
      <c r="E23" s="303"/>
      <c r="F23" s="303">
        <v>0.98611111111111116</v>
      </c>
      <c r="G23" s="303"/>
      <c r="H23" s="304">
        <f t="shared" si="0"/>
        <v>3.8194444444444531E-2</v>
      </c>
      <c r="I23" s="305"/>
    </row>
    <row r="24" spans="2:12" ht="15.75" x14ac:dyDescent="0.25">
      <c r="B24" s="302" t="s">
        <v>188</v>
      </c>
      <c r="C24" s="280"/>
      <c r="D24" s="303"/>
      <c r="E24" s="303"/>
      <c r="F24" s="303"/>
      <c r="G24" s="303"/>
      <c r="H24" s="304">
        <f t="shared" si="0"/>
        <v>0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0.18402777777777785</v>
      </c>
      <c r="I25" s="307"/>
      <c r="J25" s="6"/>
      <c r="L25">
        <f>60*4+25</f>
        <v>265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4.416666666666667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91.52000000000001</v>
      </c>
    </row>
    <row r="29" spans="2:12" ht="15.75" x14ac:dyDescent="0.25">
      <c r="B29" s="164">
        <f>H19</f>
        <v>3.472222222222221E-2</v>
      </c>
      <c r="C29" s="141"/>
      <c r="D29" s="193">
        <f>C29+B29</f>
        <v>3.472222222222221E-2</v>
      </c>
      <c r="E29" s="190"/>
      <c r="G29" s="251" t="s">
        <v>138</v>
      </c>
      <c r="H29" s="252"/>
      <c r="I29" s="162">
        <f>C34*22</f>
        <v>0</v>
      </c>
    </row>
    <row r="30" spans="2:12" ht="15.75" x14ac:dyDescent="0.25">
      <c r="B30" s="164">
        <f t="shared" ref="B30:B33" si="1">H20</f>
        <v>4.8611111111111105E-2</v>
      </c>
      <c r="C30" s="141"/>
      <c r="D30" s="193">
        <f t="shared" ref="D30:D33" si="2">C30+B30</f>
        <v>4.8611111111111105E-2</v>
      </c>
      <c r="E30" s="190"/>
      <c r="G30" s="251" t="s">
        <v>139</v>
      </c>
      <c r="H30" s="252"/>
      <c r="I30" s="162">
        <f>I28+I29</f>
        <v>91.52000000000001</v>
      </c>
    </row>
    <row r="31" spans="2:12" ht="15.75" x14ac:dyDescent="0.25">
      <c r="B31" s="164">
        <f t="shared" si="1"/>
        <v>6.25E-2</v>
      </c>
      <c r="C31" s="141"/>
      <c r="D31" s="193">
        <f t="shared" si="2"/>
        <v>6.25E-2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1" t="s">
        <v>140</v>
      </c>
      <c r="H32" s="252"/>
      <c r="I32" s="162">
        <f>I30*0.25</f>
        <v>22.880000000000003</v>
      </c>
    </row>
    <row r="33" spans="1:13" ht="16.5" thickBot="1" x14ac:dyDescent="0.3">
      <c r="B33" s="164">
        <f t="shared" si="1"/>
        <v>3.8194444444444531E-2</v>
      </c>
      <c r="C33" s="141"/>
      <c r="D33" s="193">
        <f t="shared" si="2"/>
        <v>3.8194444444444531E-2</v>
      </c>
      <c r="E33" s="190"/>
      <c r="G33" s="227" t="s">
        <v>130</v>
      </c>
      <c r="H33" s="228"/>
      <c r="I33" s="163">
        <f>((I30+I32)/I31)</f>
        <v>0.52</v>
      </c>
    </row>
    <row r="34" spans="1:13" ht="16.5" thickBot="1" x14ac:dyDescent="0.3">
      <c r="B34" s="205">
        <v>4.16</v>
      </c>
      <c r="C34" s="206"/>
      <c r="D34" s="207">
        <f>SUM(B34:C34)</f>
        <v>4.16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28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208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95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7.14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0.52</v>
      </c>
      <c r="D76" s="132">
        <v>0.1</v>
      </c>
      <c r="E76" s="118"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0.52</v>
      </c>
      <c r="D77" s="132">
        <v>0.02</v>
      </c>
      <c r="E77" s="118"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f>D83*D81</f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31" zoomScale="120" zoomScaleNormal="120" workbookViewId="0">
      <selection activeCell="E44" sqref="E4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196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v>60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78.37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1724.14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17241.400000000001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0.25</v>
      </c>
      <c r="E19" s="304"/>
      <c r="F19" s="304">
        <v>0.29166666666666669</v>
      </c>
      <c r="G19" s="304"/>
      <c r="H19" s="304">
        <f>F19-D19</f>
        <v>4.1666666666666685E-2</v>
      </c>
      <c r="I19" s="305"/>
    </row>
    <row r="20" spans="2:12" ht="15.75" x14ac:dyDescent="0.25">
      <c r="B20" s="308" t="s">
        <v>101</v>
      </c>
      <c r="C20" s="309"/>
      <c r="D20" s="303">
        <v>0.47916666666666669</v>
      </c>
      <c r="E20" s="303"/>
      <c r="F20" s="303">
        <v>0.52083333333333337</v>
      </c>
      <c r="G20" s="303"/>
      <c r="H20" s="304">
        <f t="shared" ref="H20:H24" si="0">F20-D20</f>
        <v>4.1666666666666685E-2</v>
      </c>
      <c r="I20" s="305"/>
      <c r="L20">
        <f>4*60+10</f>
        <v>250</v>
      </c>
    </row>
    <row r="21" spans="2:12" ht="15.75" x14ac:dyDescent="0.25">
      <c r="B21" s="308" t="s">
        <v>184</v>
      </c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8" t="s">
        <v>185</v>
      </c>
      <c r="C22" s="309"/>
      <c r="D22" s="303"/>
      <c r="E22" s="303"/>
      <c r="F22" s="303"/>
      <c r="G22" s="303"/>
      <c r="H22" s="304">
        <f t="shared" si="0"/>
        <v>0</v>
      </c>
      <c r="I22" s="305"/>
    </row>
    <row r="23" spans="2:12" ht="15.75" x14ac:dyDescent="0.25">
      <c r="B23" s="308" t="s">
        <v>186</v>
      </c>
      <c r="C23" s="309"/>
      <c r="D23" s="303">
        <v>0.70833333333333337</v>
      </c>
      <c r="E23" s="303"/>
      <c r="F23" s="303">
        <v>0.76041666666666663</v>
      </c>
      <c r="G23" s="303"/>
      <c r="H23" s="304">
        <f t="shared" si="0"/>
        <v>5.2083333333333259E-2</v>
      </c>
      <c r="I23" s="305"/>
    </row>
    <row r="24" spans="2:12" ht="15.75" x14ac:dyDescent="0.25">
      <c r="B24" s="308" t="s">
        <v>187</v>
      </c>
      <c r="C24" s="309"/>
      <c r="D24" s="303">
        <v>0.94791666666666663</v>
      </c>
      <c r="E24" s="303"/>
      <c r="F24" s="303">
        <v>0.98611111111111116</v>
      </c>
      <c r="G24" s="303"/>
      <c r="H24" s="304">
        <f t="shared" si="0"/>
        <v>3.8194444444444531E-2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0.17361111111111116</v>
      </c>
      <c r="I25" s="307"/>
      <c r="J25" s="6"/>
      <c r="L25">
        <f>L20</f>
        <v>250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4.166666666666667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91.52000000000001</v>
      </c>
    </row>
    <row r="29" spans="2:12" ht="15.75" x14ac:dyDescent="0.25">
      <c r="B29" s="164">
        <f>H19</f>
        <v>4.1666666666666685E-2</v>
      </c>
      <c r="C29" s="141">
        <v>3.4722222222222224E-2</v>
      </c>
      <c r="D29" s="193">
        <f>C29+B29</f>
        <v>7.6388888888888909E-2</v>
      </c>
      <c r="E29" s="190"/>
      <c r="G29" s="251" t="s">
        <v>138</v>
      </c>
      <c r="H29" s="252"/>
      <c r="I29" s="162">
        <f>C34*22</f>
        <v>55</v>
      </c>
      <c r="L29">
        <f>75/60</f>
        <v>1.25</v>
      </c>
    </row>
    <row r="30" spans="2:12" ht="15.75" x14ac:dyDescent="0.25">
      <c r="B30" s="164">
        <f t="shared" ref="B30:B33" si="1">H20</f>
        <v>4.1666666666666685E-2</v>
      </c>
      <c r="C30" s="141">
        <v>3.4722222222222224E-2</v>
      </c>
      <c r="D30" s="193">
        <f t="shared" ref="D30:D33" si="2">C30+B30</f>
        <v>7.6388888888888909E-2</v>
      </c>
      <c r="E30" s="190"/>
      <c r="G30" s="251" t="s">
        <v>139</v>
      </c>
      <c r="H30" s="252"/>
      <c r="I30" s="162">
        <f>I28+I29</f>
        <v>146.52000000000001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1" t="s">
        <v>140</v>
      </c>
      <c r="H32" s="252"/>
      <c r="I32" s="162">
        <f>I30*0.25</f>
        <v>36.630000000000003</v>
      </c>
    </row>
    <row r="33" spans="1:13" ht="16.5" thickBot="1" x14ac:dyDescent="0.3">
      <c r="B33" s="164">
        <f t="shared" si="1"/>
        <v>5.2083333333333259E-2</v>
      </c>
      <c r="C33" s="141">
        <v>3.4722222222222224E-2</v>
      </c>
      <c r="D33" s="193">
        <f t="shared" si="2"/>
        <v>8.6805555555555483E-2</v>
      </c>
      <c r="E33" s="190"/>
      <c r="G33" s="227" t="s">
        <v>130</v>
      </c>
      <c r="H33" s="228"/>
      <c r="I33" s="163">
        <f>((I30+I32)/I31)</f>
        <v>0.83250000000000002</v>
      </c>
    </row>
    <row r="34" spans="1:13" ht="16.5" thickBot="1" x14ac:dyDescent="0.3">
      <c r="B34" s="205">
        <v>4.16</v>
      </c>
      <c r="C34" s="206">
        <v>2.5</v>
      </c>
      <c r="D34" s="207">
        <f>SUM(B34:C34)</f>
        <v>6.66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192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0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f>'Trajeto 1'!E46</f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204">
        <f>'Trajeto 1'!E47</f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204">
        <f>'Trajeto 1'!E48</f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0.83250000000000002</v>
      </c>
      <c r="D76" s="132">
        <v>0.1</v>
      </c>
      <c r="E76" s="118"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0.83250000000000002</v>
      </c>
      <c r="D77" s="132">
        <v>0.02</v>
      </c>
      <c r="E77" s="118"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f>D83*D81</f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f>SUM(H100:H103)</f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34" zoomScale="120" zoomScaleNormal="120" workbookViewId="0">
      <selection activeCell="E47" sqref="E47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179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f>48*4</f>
        <v>192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75.58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1662.76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16627.599999999999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0.25</v>
      </c>
      <c r="E19" s="304"/>
      <c r="F19" s="304">
        <v>0.30208333333333331</v>
      </c>
      <c r="G19" s="304"/>
      <c r="H19" s="304">
        <f>F19-D19</f>
        <v>5.2083333333333315E-2</v>
      </c>
      <c r="I19" s="305"/>
    </row>
    <row r="20" spans="2:12" ht="15.75" x14ac:dyDescent="0.25">
      <c r="B20" s="302" t="s">
        <v>101</v>
      </c>
      <c r="C20" s="280"/>
      <c r="D20" s="303">
        <v>0.47222222222222227</v>
      </c>
      <c r="E20" s="303"/>
      <c r="F20" s="303">
        <v>0.53819444444444442</v>
      </c>
      <c r="G20" s="303"/>
      <c r="H20" s="304">
        <f t="shared" ref="H20:H24" si="0">F20-D20</f>
        <v>6.5972222222222154E-2</v>
      </c>
      <c r="I20" s="305"/>
    </row>
    <row r="21" spans="2:12" ht="15.75" x14ac:dyDescent="0.25">
      <c r="B21" s="308" t="s">
        <v>184</v>
      </c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2" t="s">
        <v>188</v>
      </c>
      <c r="C22" s="280"/>
      <c r="D22" s="303">
        <v>0.94791666666666663</v>
      </c>
      <c r="E22" s="303"/>
      <c r="F22" s="303">
        <v>0.98611111111111116</v>
      </c>
      <c r="G22" s="303"/>
      <c r="H22" s="304">
        <f t="shared" si="0"/>
        <v>3.8194444444444531E-2</v>
      </c>
      <c r="I22" s="305"/>
    </row>
    <row r="23" spans="2:12" ht="15.75" x14ac:dyDescent="0.25">
      <c r="B23" s="308"/>
      <c r="C23" s="309"/>
      <c r="D23" s="303"/>
      <c r="E23" s="303"/>
      <c r="F23" s="303"/>
      <c r="G23" s="303"/>
      <c r="H23" s="304">
        <f t="shared" si="0"/>
        <v>0</v>
      </c>
      <c r="I23" s="305"/>
    </row>
    <row r="24" spans="2:12" ht="15.75" x14ac:dyDescent="0.25">
      <c r="B24" s="302"/>
      <c r="C24" s="280"/>
      <c r="D24" s="303"/>
      <c r="E24" s="303"/>
      <c r="F24" s="303"/>
      <c r="G24" s="303"/>
      <c r="H24" s="304">
        <f t="shared" si="0"/>
        <v>0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0.15625</v>
      </c>
      <c r="I25" s="307"/>
      <c r="J25" s="6"/>
      <c r="L25">
        <f>60*3+45</f>
        <v>225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3.75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82.5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1" t="s">
        <v>138</v>
      </c>
      <c r="H29" s="252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1" t="s">
        <v>139</v>
      </c>
      <c r="H30" s="252"/>
      <c r="I30" s="162">
        <f>I28+I29</f>
        <v>115.5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3.8194444444444531E-2</v>
      </c>
      <c r="C32" s="141">
        <v>2.0833333333333332E-2</v>
      </c>
      <c r="D32" s="193">
        <f t="shared" si="2"/>
        <v>5.902777777777786E-2</v>
      </c>
      <c r="E32" s="190"/>
      <c r="G32" s="251" t="s">
        <v>140</v>
      </c>
      <c r="H32" s="252"/>
      <c r="I32" s="162">
        <f>I30*0.25</f>
        <v>28.875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27" t="s">
        <v>130</v>
      </c>
      <c r="H33" s="228"/>
      <c r="I33" s="163">
        <f>((I30+I32)/I31)</f>
        <v>0.65625</v>
      </c>
    </row>
    <row r="34" spans="1:13" ht="16.5" thickBot="1" x14ac:dyDescent="0.3">
      <c r="B34" s="205">
        <f>L26</f>
        <v>3.75</v>
      </c>
      <c r="C34" s="206">
        <v>1.5</v>
      </c>
      <c r="D34" s="207">
        <f>SUM(B34:C34)</f>
        <v>5.25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28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f>'Trajeto 2'!E46</f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204">
        <f>'Trajeto 2'!E47</f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204">
        <f>'Trajeto 2'!E48</f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0.65625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0.65625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f>D83*D81</f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f>SUM(H100:H103)</f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31" zoomScale="120" zoomScaleNormal="120" workbookViewId="0">
      <selection activeCell="G105" sqref="G10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179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f>48*4</f>
        <v>192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116.31818181818181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2559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25590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0.25</v>
      </c>
      <c r="E19" s="304"/>
      <c r="F19" s="304">
        <v>0.30208333333333331</v>
      </c>
      <c r="G19" s="304"/>
      <c r="H19" s="304">
        <f>F19-D19</f>
        <v>5.2083333333333315E-2</v>
      </c>
      <c r="I19" s="305"/>
    </row>
    <row r="20" spans="2:12" ht="15.75" x14ac:dyDescent="0.25">
      <c r="B20" s="302" t="s">
        <v>101</v>
      </c>
      <c r="C20" s="280"/>
      <c r="D20" s="303">
        <v>0.47222222222222227</v>
      </c>
      <c r="E20" s="303"/>
      <c r="F20" s="303">
        <v>0.53819444444444442</v>
      </c>
      <c r="G20" s="303"/>
      <c r="H20" s="304">
        <f t="shared" ref="H20:H24" si="0">F20-D20</f>
        <v>6.5972222222222154E-2</v>
      </c>
      <c r="I20" s="305"/>
    </row>
    <row r="21" spans="2:12" ht="15.75" x14ac:dyDescent="0.25">
      <c r="B21" s="308" t="s">
        <v>184</v>
      </c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2" t="s">
        <v>188</v>
      </c>
      <c r="C22" s="280"/>
      <c r="D22" s="303">
        <v>0.94791666666666663</v>
      </c>
      <c r="E22" s="303"/>
      <c r="F22" s="303">
        <v>0.98611111111111116</v>
      </c>
      <c r="G22" s="303"/>
      <c r="H22" s="304">
        <f t="shared" si="0"/>
        <v>3.8194444444444531E-2</v>
      </c>
      <c r="I22" s="305"/>
    </row>
    <row r="23" spans="2:12" ht="15.75" x14ac:dyDescent="0.25">
      <c r="B23" s="308"/>
      <c r="C23" s="309"/>
      <c r="D23" s="303"/>
      <c r="E23" s="303"/>
      <c r="F23" s="303"/>
      <c r="G23" s="303"/>
      <c r="H23" s="304">
        <f t="shared" si="0"/>
        <v>0</v>
      </c>
      <c r="I23" s="305"/>
    </row>
    <row r="24" spans="2:12" ht="15.75" x14ac:dyDescent="0.25">
      <c r="B24" s="302"/>
      <c r="C24" s="280"/>
      <c r="D24" s="303"/>
      <c r="E24" s="303"/>
      <c r="F24" s="303"/>
      <c r="G24" s="303"/>
      <c r="H24" s="304">
        <f t="shared" si="0"/>
        <v>0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0.15625</v>
      </c>
      <c r="I25" s="307"/>
      <c r="J25" s="6"/>
      <c r="L25">
        <f>60*3+45</f>
        <v>225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3.75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75.900000000000006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1" t="s">
        <v>138</v>
      </c>
      <c r="H29" s="252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1" t="s">
        <v>139</v>
      </c>
      <c r="H30" s="252"/>
      <c r="I30" s="162">
        <f>I28+I29</f>
        <v>108.9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3.8194444444444531E-2</v>
      </c>
      <c r="C32" s="141">
        <v>2.0833333333333332E-2</v>
      </c>
      <c r="D32" s="193">
        <f t="shared" si="2"/>
        <v>5.902777777777786E-2</v>
      </c>
      <c r="E32" s="190"/>
      <c r="G32" s="251" t="s">
        <v>140</v>
      </c>
      <c r="H32" s="252"/>
      <c r="I32" s="162">
        <f>I30*0.25</f>
        <v>27.225000000000001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27" t="s">
        <v>130</v>
      </c>
      <c r="H33" s="228"/>
      <c r="I33" s="163">
        <f>((I30+I32)/I31)</f>
        <v>0.61875000000000002</v>
      </c>
    </row>
    <row r="34" spans="1:13" ht="16.5" thickBot="1" x14ac:dyDescent="0.3">
      <c r="B34" s="205">
        <v>3.45</v>
      </c>
      <c r="C34" s="206">
        <v>1.5</v>
      </c>
      <c r="D34" s="207">
        <f>SUM(B34:C34)</f>
        <v>4.95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28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95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0.61875000000000002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0.61875000000000002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157" zoomScale="120" zoomScaleNormal="120" workbookViewId="0">
      <selection activeCell="H104" sqref="H10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179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8"/>
      <c r="C8" s="8"/>
      <c r="D8" s="8"/>
      <c r="E8" s="8"/>
      <c r="F8" s="8"/>
      <c r="G8" s="8"/>
      <c r="H8" s="8"/>
      <c r="I8" s="6"/>
    </row>
    <row r="9" spans="1:9" ht="15.75" x14ac:dyDescent="0.25">
      <c r="B9" s="314" t="s">
        <v>0</v>
      </c>
      <c r="C9" s="315"/>
      <c r="D9" s="174" t="s">
        <v>180</v>
      </c>
      <c r="F9" s="314" t="s">
        <v>3</v>
      </c>
      <c r="G9" s="315"/>
      <c r="H9" s="315"/>
      <c r="I9" s="143">
        <f>28*3</f>
        <v>84</v>
      </c>
    </row>
    <row r="10" spans="1:9" ht="15.75" x14ac:dyDescent="0.25">
      <c r="B10" s="316" t="s">
        <v>1</v>
      </c>
      <c r="C10" s="317"/>
      <c r="D10" s="119">
        <v>204</v>
      </c>
      <c r="F10" s="316" t="s">
        <v>71</v>
      </c>
      <c r="G10" s="317"/>
      <c r="H10" s="317"/>
      <c r="I10" s="175">
        <f>I12/I11</f>
        <v>92.63636363636364</v>
      </c>
    </row>
    <row r="11" spans="1:9" ht="15.75" x14ac:dyDescent="0.25">
      <c r="B11" s="316" t="s">
        <v>75</v>
      </c>
      <c r="C11" s="317"/>
      <c r="D11" s="119">
        <v>10</v>
      </c>
      <c r="F11" s="316" t="s">
        <v>2</v>
      </c>
      <c r="G11" s="317"/>
      <c r="H11" s="317"/>
      <c r="I11" s="119">
        <v>22</v>
      </c>
    </row>
    <row r="12" spans="1:9" ht="15.75" x14ac:dyDescent="0.25">
      <c r="B12" s="316" t="s">
        <v>2</v>
      </c>
      <c r="C12" s="317"/>
      <c r="D12" s="119">
        <v>22</v>
      </c>
      <c r="F12" s="316" t="s">
        <v>72</v>
      </c>
      <c r="G12" s="317"/>
      <c r="H12" s="317"/>
      <c r="I12" s="119">
        <v>2038</v>
      </c>
    </row>
    <row r="13" spans="1:9" ht="16.5" thickBot="1" x14ac:dyDescent="0.3">
      <c r="B13" s="11"/>
      <c r="C13" s="252"/>
      <c r="D13" s="334"/>
      <c r="E13" s="9"/>
      <c r="F13" s="213" t="s">
        <v>73</v>
      </c>
      <c r="G13" s="214"/>
      <c r="H13" s="214"/>
      <c r="I13" s="116">
        <f>I12*D11</f>
        <v>20380</v>
      </c>
    </row>
    <row r="14" spans="1:9" ht="16.5" thickBot="1" x14ac:dyDescent="0.3">
      <c r="B14" s="12"/>
      <c r="C14" s="290"/>
      <c r="D14" s="313"/>
      <c r="E14" s="9"/>
      <c r="I14" s="1"/>
    </row>
    <row r="15" spans="1:9" ht="16.5" thickBot="1" x14ac:dyDescent="0.3">
      <c r="B15" s="8"/>
      <c r="C15" s="8"/>
      <c r="D15" s="8"/>
      <c r="E15" s="9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8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0.25</v>
      </c>
      <c r="E19" s="304"/>
      <c r="F19" s="304">
        <v>0.29166666666666669</v>
      </c>
      <c r="G19" s="304"/>
      <c r="H19" s="304">
        <f>F19-D19</f>
        <v>4.1666666666666685E-2</v>
      </c>
      <c r="I19" s="305"/>
    </row>
    <row r="20" spans="2:12" ht="15.75" x14ac:dyDescent="0.25">
      <c r="B20" s="302" t="s">
        <v>101</v>
      </c>
      <c r="C20" s="280"/>
      <c r="D20" s="303">
        <v>0.47916666666666669</v>
      </c>
      <c r="E20" s="303"/>
      <c r="F20" s="303">
        <v>0.52777777777777779</v>
      </c>
      <c r="G20" s="303"/>
      <c r="H20" s="304">
        <f t="shared" ref="H20:H24" si="0">F20-D20</f>
        <v>4.8611111111111105E-2</v>
      </c>
      <c r="I20" s="305"/>
    </row>
    <row r="21" spans="2:12" ht="15.75" x14ac:dyDescent="0.25">
      <c r="B21" s="308" t="s">
        <v>184</v>
      </c>
      <c r="C21" s="309"/>
      <c r="D21" s="310">
        <v>0.70833333333333337</v>
      </c>
      <c r="E21" s="311"/>
      <c r="F21" s="310">
        <v>0.77083333333333337</v>
      </c>
      <c r="G21" s="311"/>
      <c r="H21" s="304">
        <f t="shared" si="0"/>
        <v>6.25E-2</v>
      </c>
      <c r="I21" s="305"/>
    </row>
    <row r="22" spans="2:12" ht="15.75" x14ac:dyDescent="0.25">
      <c r="B22" s="302" t="s">
        <v>188</v>
      </c>
      <c r="C22" s="280"/>
      <c r="D22" s="303">
        <v>0.94791666666666663</v>
      </c>
      <c r="E22" s="303"/>
      <c r="F22" s="303">
        <v>0.98611111111111116</v>
      </c>
      <c r="G22" s="303"/>
      <c r="H22" s="304">
        <f t="shared" si="0"/>
        <v>3.8194444444444531E-2</v>
      </c>
      <c r="I22" s="305"/>
    </row>
    <row r="23" spans="2:12" ht="15.75" x14ac:dyDescent="0.25">
      <c r="B23" s="308"/>
      <c r="C23" s="309"/>
      <c r="D23" s="303"/>
      <c r="E23" s="303"/>
      <c r="F23" s="303"/>
      <c r="G23" s="303"/>
      <c r="H23" s="304">
        <f t="shared" ref="H23" si="1">F23-D23</f>
        <v>0</v>
      </c>
      <c r="I23" s="305"/>
    </row>
    <row r="24" spans="2:12" ht="15.75" x14ac:dyDescent="0.25">
      <c r="B24" s="302"/>
      <c r="C24" s="280"/>
      <c r="D24" s="303"/>
      <c r="E24" s="303"/>
      <c r="F24" s="303"/>
      <c r="G24" s="303"/>
      <c r="H24" s="304">
        <f t="shared" si="0"/>
        <v>0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0.19097222222222232</v>
      </c>
      <c r="I25" s="307"/>
      <c r="J25" s="6"/>
      <c r="L25">
        <f>60*4+35</f>
        <v>275</v>
      </c>
    </row>
    <row r="26" spans="2:12" ht="16.5" thickBot="1" x14ac:dyDescent="0.3">
      <c r="B26" s="8"/>
      <c r="C26" s="8"/>
      <c r="D26" s="8"/>
      <c r="E26" s="8"/>
      <c r="F26" s="8"/>
      <c r="G26" s="8"/>
      <c r="H26" s="61"/>
      <c r="I26" s="61"/>
      <c r="J26" s="6"/>
      <c r="L26">
        <f>L25/60</f>
        <v>4.583333333333333</v>
      </c>
    </row>
    <row r="27" spans="2:12" ht="16.5" thickBot="1" x14ac:dyDescent="0.3">
      <c r="B27" s="296" t="s">
        <v>141</v>
      </c>
      <c r="C27" s="297"/>
      <c r="D27" s="298"/>
      <c r="E27" s="8"/>
      <c r="G27" s="299" t="s">
        <v>130</v>
      </c>
      <c r="H27" s="300"/>
      <c r="I27" s="301"/>
    </row>
    <row r="28" spans="2:12" ht="16.5" thickBot="1" x14ac:dyDescent="0.3">
      <c r="B28" s="62" t="s">
        <v>135</v>
      </c>
      <c r="C28" s="63" t="s">
        <v>132</v>
      </c>
      <c r="D28" s="64" t="s">
        <v>136</v>
      </c>
      <c r="E28" s="8"/>
      <c r="G28" s="275" t="s">
        <v>137</v>
      </c>
      <c r="H28" s="276"/>
      <c r="I28" s="161">
        <f>B34*22</f>
        <v>100.76</v>
      </c>
    </row>
    <row r="29" spans="2:12" ht="15.75" x14ac:dyDescent="0.25">
      <c r="B29" s="164">
        <f>H19</f>
        <v>4.1666666666666685E-2</v>
      </c>
      <c r="C29" s="141"/>
      <c r="D29" s="142">
        <f>C29+B29</f>
        <v>4.1666666666666685E-2</v>
      </c>
      <c r="E29" s="8"/>
      <c r="G29" s="251" t="s">
        <v>138</v>
      </c>
      <c r="H29" s="252"/>
      <c r="I29" s="162">
        <f>C34*22</f>
        <v>0</v>
      </c>
    </row>
    <row r="30" spans="2:12" ht="15.75" x14ac:dyDescent="0.25">
      <c r="B30" s="164">
        <f t="shared" ref="B30:B33" si="2">H20</f>
        <v>4.8611111111111105E-2</v>
      </c>
      <c r="C30" s="141"/>
      <c r="D30" s="193">
        <f t="shared" ref="D30:D33" si="3">C30+B30</f>
        <v>4.8611111111111105E-2</v>
      </c>
      <c r="E30" s="8"/>
      <c r="G30" s="251" t="s">
        <v>139</v>
      </c>
      <c r="H30" s="252"/>
      <c r="I30" s="162">
        <f>I28+I29</f>
        <v>100.76</v>
      </c>
    </row>
    <row r="31" spans="2:12" ht="15.75" x14ac:dyDescent="0.25">
      <c r="B31" s="164">
        <f t="shared" si="2"/>
        <v>6.25E-2</v>
      </c>
      <c r="C31" s="141"/>
      <c r="D31" s="193">
        <f t="shared" si="3"/>
        <v>6.25E-2</v>
      </c>
      <c r="E31" s="8"/>
      <c r="G31" s="251" t="s">
        <v>134</v>
      </c>
      <c r="H31" s="252"/>
      <c r="I31" s="162">
        <v>220</v>
      </c>
    </row>
    <row r="32" spans="2:12" ht="15.75" x14ac:dyDescent="0.25">
      <c r="B32" s="164">
        <f t="shared" si="2"/>
        <v>3.8194444444444531E-2</v>
      </c>
      <c r="C32" s="141"/>
      <c r="D32" s="193">
        <f t="shared" si="3"/>
        <v>3.8194444444444531E-2</v>
      </c>
      <c r="E32" s="8"/>
      <c r="G32" s="251" t="s">
        <v>140</v>
      </c>
      <c r="H32" s="252"/>
      <c r="I32" s="162">
        <f>I30*0.25</f>
        <v>25.19</v>
      </c>
    </row>
    <row r="33" spans="1:13" ht="16.5" thickBot="1" x14ac:dyDescent="0.3">
      <c r="B33" s="164">
        <f t="shared" si="2"/>
        <v>0</v>
      </c>
      <c r="C33" s="141"/>
      <c r="D33" s="193">
        <f t="shared" si="3"/>
        <v>0</v>
      </c>
      <c r="E33" s="8"/>
      <c r="G33" s="227" t="s">
        <v>130</v>
      </c>
      <c r="H33" s="228"/>
      <c r="I33" s="163">
        <f>((I30+I32)/I31)</f>
        <v>0.57250000000000001</v>
      </c>
    </row>
    <row r="34" spans="1:13" ht="16.5" thickBot="1" x14ac:dyDescent="0.3">
      <c r="B34" s="205">
        <v>4.58</v>
      </c>
      <c r="C34" s="206"/>
      <c r="D34" s="207">
        <f>SUM(B34:C34)</f>
        <v>4.58</v>
      </c>
      <c r="E34" s="8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5"/>
    </row>
    <row r="40" spans="1:13" ht="15.75" customHeight="1" x14ac:dyDescent="0.25">
      <c r="B40" s="240" t="s">
        <v>93</v>
      </c>
      <c r="C40" s="242"/>
      <c r="D40" s="241"/>
      <c r="E40" s="156">
        <v>28</v>
      </c>
      <c r="F40" s="14"/>
      <c r="J40" s="15"/>
    </row>
    <row r="41" spans="1:13" ht="15.75" customHeight="1" x14ac:dyDescent="0.25">
      <c r="B41" s="240" t="s">
        <v>88</v>
      </c>
      <c r="C41" s="242"/>
      <c r="D41" s="241"/>
      <c r="E41" s="156" t="s">
        <v>70</v>
      </c>
      <c r="F41" s="14"/>
      <c r="G41" s="30"/>
      <c r="H41" s="30"/>
      <c r="I41" s="30"/>
      <c r="J41" s="15"/>
    </row>
    <row r="42" spans="1:13" ht="15.75" customHeight="1" x14ac:dyDescent="0.25">
      <c r="B42" s="240" t="s">
        <v>177</v>
      </c>
      <c r="C42" s="242"/>
      <c r="D42" s="241"/>
      <c r="E42" s="156">
        <v>0</v>
      </c>
      <c r="F42" s="16"/>
      <c r="G42" s="30"/>
      <c r="H42" s="30"/>
      <c r="I42" s="30"/>
      <c r="J42" s="15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5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56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56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87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87">
        <v>12</v>
      </c>
      <c r="E54" s="151">
        <v>0</v>
      </c>
      <c r="F54" s="83">
        <f t="shared" ref="F54:F64" si="4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87">
        <v>1</v>
      </c>
      <c r="E55" s="83">
        <v>0</v>
      </c>
      <c r="F55" s="83">
        <f t="shared" si="4"/>
        <v>0</v>
      </c>
      <c r="G55" s="84">
        <f>F55/C55*I12</f>
        <v>0</v>
      </c>
      <c r="J55" s="18"/>
      <c r="K55" s="18"/>
      <c r="L55" s="15"/>
      <c r="M55" s="15"/>
    </row>
    <row r="56" spans="2:13" ht="15.75" customHeight="1" x14ac:dyDescent="0.25">
      <c r="B56" s="85" t="s">
        <v>162</v>
      </c>
      <c r="C56" s="86">
        <v>60000</v>
      </c>
      <c r="D56" s="87">
        <v>4</v>
      </c>
      <c r="E56" s="83">
        <v>0</v>
      </c>
      <c r="F56" s="83">
        <f t="shared" si="4"/>
        <v>0</v>
      </c>
      <c r="G56" s="84">
        <f>F56/C56*I13</f>
        <v>0</v>
      </c>
      <c r="J56" s="18"/>
      <c r="K56" s="18"/>
      <c r="L56" s="76"/>
      <c r="M56" s="76"/>
    </row>
    <row r="57" spans="2:13" ht="15.75" customHeight="1" x14ac:dyDescent="0.25">
      <c r="B57" s="85" t="s">
        <v>110</v>
      </c>
      <c r="C57" s="86">
        <v>60000</v>
      </c>
      <c r="D57" s="87">
        <v>2</v>
      </c>
      <c r="E57" s="83">
        <v>0</v>
      </c>
      <c r="F57" s="83">
        <f t="shared" si="4"/>
        <v>0</v>
      </c>
      <c r="G57" s="84">
        <f>F57/C57*I12</f>
        <v>0</v>
      </c>
      <c r="J57" s="18"/>
      <c r="K57" s="18"/>
      <c r="L57" s="15"/>
      <c r="M57" s="15"/>
    </row>
    <row r="58" spans="2:13" ht="15.75" customHeight="1" x14ac:dyDescent="0.25">
      <c r="B58" s="139" t="s">
        <v>122</v>
      </c>
      <c r="C58" s="86">
        <v>40000</v>
      </c>
      <c r="D58" s="87">
        <v>2</v>
      </c>
      <c r="E58" s="83">
        <v>0</v>
      </c>
      <c r="F58" s="83">
        <f t="shared" si="4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87">
        <v>2</v>
      </c>
      <c r="E61" s="83">
        <v>0</v>
      </c>
      <c r="F61" s="83">
        <f t="shared" si="4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87">
        <v>1</v>
      </c>
      <c r="E62" s="83">
        <v>0</v>
      </c>
      <c r="F62" s="83">
        <f t="shared" si="4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87">
        <v>1</v>
      </c>
      <c r="E63" s="83">
        <v>0</v>
      </c>
      <c r="F63" s="83">
        <f t="shared" si="4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87">
        <v>4</v>
      </c>
      <c r="E64" s="151">
        <v>0</v>
      </c>
      <c r="F64" s="83">
        <f t="shared" si="4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87" t="s">
        <v>118</v>
      </c>
      <c r="D65" s="87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5"/>
      <c r="I67" s="15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5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5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5"/>
      <c r="J70" s="18"/>
      <c r="K70" s="18"/>
    </row>
    <row r="71" spans="2:12" ht="15.75" customHeight="1" x14ac:dyDescent="0.25">
      <c r="B71" s="125" t="s">
        <v>11</v>
      </c>
      <c r="C71" s="126">
        <v>0</v>
      </c>
      <c r="D71" s="127">
        <v>1</v>
      </c>
      <c r="E71" s="97">
        <v>0</v>
      </c>
      <c r="F71" s="128">
        <f>E71</f>
        <v>0</v>
      </c>
      <c r="G71" s="105">
        <f>F71/12</f>
        <v>0</v>
      </c>
      <c r="J71" s="18"/>
      <c r="K71" s="18"/>
    </row>
    <row r="72" spans="2:12" ht="15.75" customHeight="1" x14ac:dyDescent="0.25">
      <c r="B72" s="125" t="s">
        <v>12</v>
      </c>
      <c r="C72" s="126">
        <v>0</v>
      </c>
      <c r="D72" s="129">
        <v>1</v>
      </c>
      <c r="E72" s="83">
        <v>0</v>
      </c>
      <c r="F72" s="129">
        <v>0</v>
      </c>
      <c r="G72" s="119">
        <v>0</v>
      </c>
      <c r="I72" s="15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5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5"/>
      <c r="I74" s="15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5"/>
    </row>
    <row r="76" spans="2:12" ht="15.75" customHeight="1" x14ac:dyDescent="0.25">
      <c r="B76" s="125" t="s">
        <v>129</v>
      </c>
      <c r="C76" s="131">
        <f>I33</f>
        <v>0.57250000000000001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5"/>
    </row>
    <row r="77" spans="2:12" ht="15.75" customHeight="1" x14ac:dyDescent="0.25">
      <c r="B77" s="125" t="s">
        <v>142</v>
      </c>
      <c r="C77" s="131">
        <f>C76</f>
        <v>0.57250000000000001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5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5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5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5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35" t="s">
        <v>83</v>
      </c>
      <c r="G81" s="136">
        <f>G66</f>
        <v>0</v>
      </c>
      <c r="H81" s="6"/>
      <c r="I81" s="15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56">
        <v>0</v>
      </c>
      <c r="E82" s="24"/>
      <c r="F82" s="137" t="s">
        <v>84</v>
      </c>
      <c r="G82" s="84">
        <f>G78</f>
        <v>0</v>
      </c>
      <c r="H82" s="6"/>
      <c r="I82" s="15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56">
        <v>0</v>
      </c>
      <c r="E83" s="24"/>
      <c r="F83" s="93" t="s">
        <v>85</v>
      </c>
      <c r="G83" s="84">
        <f>D84</f>
        <v>0</v>
      </c>
      <c r="H83" s="6"/>
      <c r="I83" s="15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v>0</v>
      </c>
      <c r="E84" s="75"/>
      <c r="F84" s="95" t="s">
        <v>156</v>
      </c>
      <c r="G84" s="90">
        <f>SUM(G81:G83)</f>
        <v>0</v>
      </c>
      <c r="H84" s="6"/>
      <c r="I84" s="15"/>
      <c r="J84" s="6"/>
      <c r="K84" s="22"/>
      <c r="L84" s="6"/>
    </row>
    <row r="85" spans="2:12" ht="15.75" customHeight="1" thickBot="1" x14ac:dyDescent="0.3">
      <c r="F85" s="14"/>
      <c r="G85" s="18"/>
      <c r="H85" s="15"/>
      <c r="I85" s="15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87"/>
      <c r="F91" s="119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87"/>
      <c r="F92" s="119"/>
      <c r="G92" s="14"/>
      <c r="H92" s="14"/>
      <c r="I92" s="14"/>
    </row>
    <row r="93" spans="2:12" ht="15.75" x14ac:dyDescent="0.25">
      <c r="B93" s="251" t="s">
        <v>19</v>
      </c>
      <c r="C93" s="252"/>
      <c r="D93" s="120">
        <v>8.3333333333333329E-2</v>
      </c>
      <c r="E93" s="87" t="s">
        <v>28</v>
      </c>
      <c r="F93" s="121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23" t="s">
        <v>27</v>
      </c>
      <c r="F94" s="124"/>
      <c r="G94" s="14"/>
      <c r="H94" s="14"/>
      <c r="I94" s="14"/>
    </row>
    <row r="95" spans="2:12" ht="16.5" thickBot="1" x14ac:dyDescent="0.3">
      <c r="B95" s="68" t="s">
        <v>21</v>
      </c>
      <c r="C95" s="69" t="s">
        <v>24</v>
      </c>
      <c r="D95" s="69" t="s">
        <v>25</v>
      </c>
      <c r="E95" s="69" t="s">
        <v>26</v>
      </c>
      <c r="F95" s="70"/>
      <c r="G95" s="14"/>
      <c r="H95" s="14"/>
      <c r="I95" s="14"/>
    </row>
    <row r="96" spans="2:12" ht="15.75" x14ac:dyDescent="0.25">
      <c r="B96" s="110" t="s">
        <v>22</v>
      </c>
      <c r="C96" s="11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13" t="s">
        <v>23</v>
      </c>
      <c r="C97" s="114">
        <v>1</v>
      </c>
      <c r="D97" s="167">
        <v>0</v>
      </c>
      <c r="E97" s="115">
        <v>0.2</v>
      </c>
      <c r="F97" s="116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f>SUM(H100:H103)</f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9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06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105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04" t="s">
        <v>38</v>
      </c>
      <c r="E132" s="104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87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87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23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23"/>
      <c r="G145" s="9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23"/>
      <c r="G146" s="9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23"/>
      <c r="G147" s="9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23"/>
      <c r="G148" s="95" t="s">
        <v>156</v>
      </c>
      <c r="H148" s="157">
        <f>SUM(H145:H147)</f>
        <v>0</v>
      </c>
      <c r="I148" s="14"/>
    </row>
    <row r="149" spans="1:12" ht="15.75" x14ac:dyDescent="0.25">
      <c r="A149" s="1"/>
      <c r="B149" s="79"/>
      <c r="C149" s="79"/>
      <c r="D149" s="79"/>
      <c r="E149" s="33"/>
      <c r="F149" s="78"/>
      <c r="G149" s="79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23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17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82"/>
      <c r="K154" s="82"/>
      <c r="L154" s="82"/>
    </row>
    <row r="155" spans="1:12" ht="15.75" x14ac:dyDescent="0.25">
      <c r="B155" s="100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80"/>
      <c r="J155" s="148"/>
      <c r="K155" s="149"/>
      <c r="L155" s="148"/>
    </row>
    <row r="156" spans="1:12" ht="15.75" x14ac:dyDescent="0.25">
      <c r="B156" s="100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80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51:I151"/>
    <mergeCell ref="B160:C160"/>
    <mergeCell ref="B161:D161"/>
    <mergeCell ref="F104:G104"/>
    <mergeCell ref="F99:H99"/>
    <mergeCell ref="B148:D148"/>
    <mergeCell ref="B145:E145"/>
    <mergeCell ref="B146:C146"/>
    <mergeCell ref="B138:E138"/>
    <mergeCell ref="B140:C140"/>
    <mergeCell ref="B141:C141"/>
    <mergeCell ref="B142:C142"/>
    <mergeCell ref="D142:D143"/>
    <mergeCell ref="E142:E143"/>
    <mergeCell ref="B143:C143"/>
    <mergeCell ref="B133:C133"/>
    <mergeCell ref="B134:C134"/>
    <mergeCell ref="B135:C135"/>
    <mergeCell ref="D135:D136"/>
    <mergeCell ref="E135:E136"/>
    <mergeCell ref="B136:C136"/>
    <mergeCell ref="B128:D128"/>
    <mergeCell ref="B130:E130"/>
    <mergeCell ref="B131:E131"/>
    <mergeCell ref="F100:G100"/>
    <mergeCell ref="B99:D99"/>
    <mergeCell ref="B100:C100"/>
    <mergeCell ref="B101:C101"/>
    <mergeCell ref="B102:C102"/>
    <mergeCell ref="B103:C103"/>
    <mergeCell ref="B22:C22"/>
    <mergeCell ref="D22:E22"/>
    <mergeCell ref="B88:F88"/>
    <mergeCell ref="B89:C89"/>
    <mergeCell ref="D89:F89"/>
    <mergeCell ref="B48:D48"/>
    <mergeCell ref="B45:D45"/>
    <mergeCell ref="B46:D46"/>
    <mergeCell ref="B47:D47"/>
    <mergeCell ref="B44:D44"/>
    <mergeCell ref="B41:D41"/>
    <mergeCell ref="B42:D42"/>
    <mergeCell ref="B43:D43"/>
    <mergeCell ref="B38:E38"/>
    <mergeCell ref="B39:E39"/>
    <mergeCell ref="B40:D40"/>
    <mergeCell ref="F80:G80"/>
    <mergeCell ref="F59:F60"/>
    <mergeCell ref="B86:I86"/>
    <mergeCell ref="B90:C90"/>
    <mergeCell ref="D90:F90"/>
    <mergeCell ref="B91:C91"/>
    <mergeCell ref="B92:C92"/>
    <mergeCell ref="B93:C93"/>
    <mergeCell ref="B94:C94"/>
    <mergeCell ref="B82:C82"/>
    <mergeCell ref="B83:C83"/>
    <mergeCell ref="B84:C84"/>
    <mergeCell ref="B80:D80"/>
    <mergeCell ref="B81:C81"/>
    <mergeCell ref="B66:F66"/>
    <mergeCell ref="B68:G68"/>
    <mergeCell ref="B78:F78"/>
    <mergeCell ref="B69:B70"/>
    <mergeCell ref="B19:C19"/>
    <mergeCell ref="D19:E19"/>
    <mergeCell ref="F19:G19"/>
    <mergeCell ref="H19:I19"/>
    <mergeCell ref="B36:I36"/>
    <mergeCell ref="F20:G20"/>
    <mergeCell ref="H20:I20"/>
    <mergeCell ref="F24:G24"/>
    <mergeCell ref="H24:I24"/>
    <mergeCell ref="H22:I22"/>
    <mergeCell ref="H25:I25"/>
    <mergeCell ref="B20:C20"/>
    <mergeCell ref="D20:E20"/>
    <mergeCell ref="B24:C24"/>
    <mergeCell ref="D24:E24"/>
    <mergeCell ref="B21:C21"/>
    <mergeCell ref="B25:G25"/>
    <mergeCell ref="B27:D27"/>
    <mergeCell ref="G27:I27"/>
    <mergeCell ref="G28:H28"/>
    <mergeCell ref="F21:G21"/>
    <mergeCell ref="H21:I21"/>
    <mergeCell ref="F22:G22"/>
    <mergeCell ref="D21:E21"/>
    <mergeCell ref="B23:C23"/>
    <mergeCell ref="D23:E23"/>
    <mergeCell ref="F23:G23"/>
    <mergeCell ref="H17:I17"/>
    <mergeCell ref="B18:C18"/>
    <mergeCell ref="D18:E18"/>
    <mergeCell ref="F18:G18"/>
    <mergeCell ref="H18:I18"/>
    <mergeCell ref="B7:I7"/>
    <mergeCell ref="B9:C9"/>
    <mergeCell ref="F9:H9"/>
    <mergeCell ref="B10:C10"/>
    <mergeCell ref="F10:H10"/>
    <mergeCell ref="B1:B2"/>
    <mergeCell ref="C1:I1"/>
    <mergeCell ref="C2:I2"/>
    <mergeCell ref="B4:B5"/>
    <mergeCell ref="C4:I4"/>
    <mergeCell ref="C5:I5"/>
    <mergeCell ref="C59:C60"/>
    <mergeCell ref="D59:D60"/>
    <mergeCell ref="E59:E60"/>
    <mergeCell ref="B12:C12"/>
    <mergeCell ref="F12:H12"/>
    <mergeCell ref="C13:D13"/>
    <mergeCell ref="F13:H13"/>
    <mergeCell ref="C14:D14"/>
    <mergeCell ref="B16:I16"/>
    <mergeCell ref="G29:H29"/>
    <mergeCell ref="G31:H31"/>
    <mergeCell ref="G32:H32"/>
    <mergeCell ref="G33:H33"/>
    <mergeCell ref="F34:G34"/>
    <mergeCell ref="G30:H30"/>
    <mergeCell ref="B50:G50"/>
    <mergeCell ref="B11:C11"/>
    <mergeCell ref="F11:H11"/>
    <mergeCell ref="B147:D147"/>
    <mergeCell ref="B112:E112"/>
    <mergeCell ref="B106:E106"/>
    <mergeCell ref="B107:E107"/>
    <mergeCell ref="F101:G101"/>
    <mergeCell ref="F102:G102"/>
    <mergeCell ref="F103:G103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09:C109"/>
    <mergeCell ref="B111:D111"/>
    <mergeCell ref="B117:C117"/>
    <mergeCell ref="B118:C118"/>
    <mergeCell ref="B127:D127"/>
    <mergeCell ref="B124:E124"/>
    <mergeCell ref="B125:D125"/>
    <mergeCell ref="B126:D126"/>
    <mergeCell ref="B108:C108"/>
    <mergeCell ref="H23:I23"/>
    <mergeCell ref="B172:D172"/>
    <mergeCell ref="B173:D173"/>
    <mergeCell ref="B174:D174"/>
    <mergeCell ref="B175:D175"/>
    <mergeCell ref="B176:D176"/>
    <mergeCell ref="B162:D162"/>
    <mergeCell ref="B163:D163"/>
    <mergeCell ref="B164:D164"/>
    <mergeCell ref="B166:E166"/>
    <mergeCell ref="B167:D167"/>
    <mergeCell ref="B168:D168"/>
    <mergeCell ref="B169:D169"/>
    <mergeCell ref="B170:D170"/>
    <mergeCell ref="B171:D171"/>
    <mergeCell ref="B153:E153"/>
    <mergeCell ref="B157:D157"/>
    <mergeCell ref="B158:E158"/>
    <mergeCell ref="B159:C159"/>
    <mergeCell ref="H66:I66"/>
    <mergeCell ref="G59:G60"/>
    <mergeCell ref="G144:H144"/>
    <mergeCell ref="B137:D137"/>
    <mergeCell ref="B144:D144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37" zoomScale="120" zoomScaleNormal="120" workbookViewId="0">
      <selection activeCell="F45" sqref="F4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199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f>28*3</f>
        <v>84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66.430000000000007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1461.46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14614.6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  <c r="L18">
        <f>80/60</f>
        <v>1.3333333333333333</v>
      </c>
    </row>
    <row r="19" spans="2:12" ht="15.75" x14ac:dyDescent="0.25">
      <c r="B19" s="308" t="s">
        <v>189</v>
      </c>
      <c r="C19" s="309"/>
      <c r="D19" s="304">
        <v>0.76041666666666663</v>
      </c>
      <c r="E19" s="304"/>
      <c r="F19" s="304">
        <v>0.8125</v>
      </c>
      <c r="G19" s="304"/>
      <c r="H19" s="304">
        <f>F19-D19</f>
        <v>5.208333333333337E-2</v>
      </c>
      <c r="I19" s="305"/>
    </row>
    <row r="20" spans="2:12" ht="15.75" x14ac:dyDescent="0.25">
      <c r="B20" s="302" t="s">
        <v>190</v>
      </c>
      <c r="C20" s="280"/>
      <c r="D20" s="303">
        <v>0.9375</v>
      </c>
      <c r="E20" s="303"/>
      <c r="F20" s="303">
        <v>0.98611111111111116</v>
      </c>
      <c r="G20" s="303"/>
      <c r="H20" s="304">
        <f t="shared" ref="H20:H24" si="0">F20-D20</f>
        <v>4.861111111111116E-2</v>
      </c>
      <c r="I20" s="305"/>
    </row>
    <row r="21" spans="2:12" ht="15.75" x14ac:dyDescent="0.25">
      <c r="B21" s="308"/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2"/>
      <c r="C22" s="280"/>
      <c r="D22" s="303"/>
      <c r="E22" s="303"/>
      <c r="F22" s="303"/>
      <c r="G22" s="303"/>
      <c r="H22" s="304">
        <f t="shared" si="0"/>
        <v>0</v>
      </c>
      <c r="I22" s="305"/>
    </row>
    <row r="23" spans="2:12" ht="15.75" x14ac:dyDescent="0.25">
      <c r="B23" s="308"/>
      <c r="C23" s="309"/>
      <c r="D23" s="303"/>
      <c r="E23" s="303"/>
      <c r="F23" s="303"/>
      <c r="G23" s="303"/>
      <c r="H23" s="304">
        <f t="shared" si="0"/>
        <v>0</v>
      </c>
      <c r="I23" s="305"/>
    </row>
    <row r="24" spans="2:12" ht="15.75" x14ac:dyDescent="0.25">
      <c r="B24" s="302"/>
      <c r="C24" s="280"/>
      <c r="D24" s="303"/>
      <c r="E24" s="303"/>
      <c r="F24" s="303"/>
      <c r="G24" s="303"/>
      <c r="H24" s="304">
        <f t="shared" si="0"/>
        <v>0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0.10069444444444453</v>
      </c>
      <c r="I25" s="307"/>
      <c r="J25" s="6"/>
      <c r="L25">
        <f>60*2+25</f>
        <v>145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2.4166666666666665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53.02</v>
      </c>
    </row>
    <row r="29" spans="2:12" ht="15.75" x14ac:dyDescent="0.25">
      <c r="B29" s="164">
        <f>H19</f>
        <v>5.208333333333337E-2</v>
      </c>
      <c r="C29" s="141">
        <v>2.7777777777777776E-2</v>
      </c>
      <c r="D29" s="193">
        <f>C29+B29</f>
        <v>7.9861111111111147E-2</v>
      </c>
      <c r="E29" s="190"/>
      <c r="G29" s="251" t="s">
        <v>138</v>
      </c>
      <c r="H29" s="252"/>
      <c r="I29" s="162">
        <f>C34*22</f>
        <v>29.26</v>
      </c>
    </row>
    <row r="30" spans="2:12" ht="15.75" x14ac:dyDescent="0.25">
      <c r="B30" s="164">
        <f t="shared" ref="B30:B33" si="1">H20</f>
        <v>4.861111111111116E-2</v>
      </c>
      <c r="C30" s="141">
        <v>2.7777777777777776E-2</v>
      </c>
      <c r="D30" s="193">
        <f t="shared" ref="D30:D33" si="2">C30+B30</f>
        <v>7.6388888888888937E-2</v>
      </c>
      <c r="E30" s="190"/>
      <c r="G30" s="251" t="s">
        <v>139</v>
      </c>
      <c r="H30" s="252"/>
      <c r="I30" s="162">
        <f>I28+I29</f>
        <v>82.28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1" t="s">
        <v>140</v>
      </c>
      <c r="H32" s="252"/>
      <c r="I32" s="162">
        <f>I30*0.25</f>
        <v>20.57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27" t="s">
        <v>130</v>
      </c>
      <c r="H33" s="228"/>
      <c r="I33" s="163">
        <f>((I30+I32)/I31)</f>
        <v>0.46749999999999997</v>
      </c>
    </row>
    <row r="34" spans="1:13" ht="16.5" thickBot="1" x14ac:dyDescent="0.3">
      <c r="B34" s="205">
        <v>2.41</v>
      </c>
      <c r="C34" s="206">
        <v>1.33</v>
      </c>
      <c r="D34" s="207">
        <f>SUM(B34:C34)</f>
        <v>3.74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28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95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0.46749999999999997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0.46749999999999997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f>D83*D81</f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175" zoomScale="120" zoomScaleNormal="120" workbookViewId="0">
      <selection activeCell="H104" sqref="H10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198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f>28*3</f>
        <v>84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88.218181818181819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1940.8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19408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0.2638888888888889</v>
      </c>
      <c r="E19" s="304"/>
      <c r="F19" s="304">
        <v>0.30555555555555552</v>
      </c>
      <c r="G19" s="304"/>
      <c r="H19" s="304">
        <f>F19-D19</f>
        <v>4.166666666666663E-2</v>
      </c>
      <c r="I19" s="305"/>
    </row>
    <row r="20" spans="2:12" ht="15.75" x14ac:dyDescent="0.25">
      <c r="B20" s="308" t="s">
        <v>101</v>
      </c>
      <c r="C20" s="309"/>
      <c r="D20" s="303">
        <v>0.47916666666666669</v>
      </c>
      <c r="E20" s="303"/>
      <c r="F20" s="303">
        <v>0.54166666666666663</v>
      </c>
      <c r="G20" s="303"/>
      <c r="H20" s="304">
        <f t="shared" ref="H20:H24" si="0">F20-D20</f>
        <v>6.2499999999999944E-2</v>
      </c>
      <c r="I20" s="305"/>
      <c r="L20">
        <f>4*60+40</f>
        <v>280</v>
      </c>
    </row>
    <row r="21" spans="2:12" ht="15.75" x14ac:dyDescent="0.25">
      <c r="B21" s="308" t="s">
        <v>184</v>
      </c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8" t="s">
        <v>185</v>
      </c>
      <c r="C22" s="309"/>
      <c r="D22" s="303"/>
      <c r="E22" s="303"/>
      <c r="F22" s="303"/>
      <c r="G22" s="303"/>
      <c r="H22" s="304">
        <f t="shared" si="0"/>
        <v>0</v>
      </c>
      <c r="I22" s="305"/>
    </row>
    <row r="23" spans="2:12" ht="15.75" x14ac:dyDescent="0.25">
      <c r="B23" s="308" t="s">
        <v>186</v>
      </c>
      <c r="C23" s="309"/>
      <c r="D23" s="303">
        <v>0.70833333333333337</v>
      </c>
      <c r="E23" s="303"/>
      <c r="F23" s="303">
        <v>0.76041666666666663</v>
      </c>
      <c r="G23" s="303"/>
      <c r="H23" s="304">
        <f t="shared" si="0"/>
        <v>5.2083333333333259E-2</v>
      </c>
      <c r="I23" s="305"/>
    </row>
    <row r="24" spans="2:12" ht="15.75" x14ac:dyDescent="0.25">
      <c r="B24" s="308" t="s">
        <v>187</v>
      </c>
      <c r="C24" s="309"/>
      <c r="D24" s="303">
        <v>0.94791666666666663</v>
      </c>
      <c r="E24" s="303"/>
      <c r="F24" s="303">
        <v>0.98611111111111116</v>
      </c>
      <c r="G24" s="303"/>
      <c r="H24" s="304">
        <f t="shared" si="0"/>
        <v>3.8194444444444531E-2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0.19444444444444436</v>
      </c>
      <c r="I25" s="307"/>
      <c r="J25" s="6"/>
      <c r="L25">
        <v>280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4.666666666666667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102.66666666666667</v>
      </c>
    </row>
    <row r="29" spans="2:12" ht="15.75" x14ac:dyDescent="0.25">
      <c r="B29" s="164">
        <f>H19</f>
        <v>4.166666666666663E-2</v>
      </c>
      <c r="C29" s="141"/>
      <c r="D29" s="193">
        <f>C29+B29</f>
        <v>4.166666666666663E-2</v>
      </c>
      <c r="E29" s="190"/>
      <c r="G29" s="251" t="s">
        <v>138</v>
      </c>
      <c r="H29" s="252"/>
      <c r="I29" s="162">
        <f>C34*22</f>
        <v>0</v>
      </c>
    </row>
    <row r="30" spans="2:12" ht="15.75" x14ac:dyDescent="0.25">
      <c r="B30" s="164">
        <f t="shared" ref="B30:B33" si="1">H20</f>
        <v>6.2499999999999944E-2</v>
      </c>
      <c r="C30" s="141"/>
      <c r="D30" s="193">
        <f t="shared" ref="D30:D33" si="2">C30+B30</f>
        <v>6.2499999999999944E-2</v>
      </c>
      <c r="E30" s="190"/>
      <c r="G30" s="251" t="s">
        <v>139</v>
      </c>
      <c r="H30" s="252"/>
      <c r="I30" s="162">
        <f>I28+I29</f>
        <v>102.66666666666667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1" t="s">
        <v>140</v>
      </c>
      <c r="H32" s="252"/>
      <c r="I32" s="162">
        <f>I30*0.25</f>
        <v>25.666666666666668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27" t="s">
        <v>130</v>
      </c>
      <c r="H33" s="228"/>
      <c r="I33" s="163">
        <f>((I30+I32)/I31)</f>
        <v>0.58333333333333337</v>
      </c>
    </row>
    <row r="34" spans="1:13" ht="16.5" thickBot="1" x14ac:dyDescent="0.3">
      <c r="B34" s="205">
        <f>L26</f>
        <v>4.666666666666667</v>
      </c>
      <c r="C34" s="206"/>
      <c r="D34" s="207">
        <f>SUM(B34:C34)</f>
        <v>4.666666666666667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191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28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f>E43*0.9</f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95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0.58333333333333337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0.58333333333333337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abSelected="1" topLeftCell="B67" zoomScale="120" zoomScaleNormal="120" workbookViewId="0">
      <selection activeCell="B173" sqref="B173:D173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18"/>
      <c r="C1" s="320" t="s">
        <v>77</v>
      </c>
      <c r="D1" s="321"/>
      <c r="E1" s="321"/>
      <c r="F1" s="321"/>
      <c r="G1" s="321"/>
      <c r="H1" s="321"/>
      <c r="I1" s="322"/>
    </row>
    <row r="2" spans="1:9" ht="40.5" customHeight="1" thickBot="1" x14ac:dyDescent="0.3">
      <c r="B2" s="319"/>
      <c r="C2" s="323"/>
      <c r="D2" s="324"/>
      <c r="E2" s="324"/>
      <c r="F2" s="324"/>
      <c r="G2" s="324"/>
      <c r="H2" s="324"/>
      <c r="I2" s="325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6" t="s">
        <v>197</v>
      </c>
      <c r="C4" s="328"/>
      <c r="D4" s="329"/>
      <c r="E4" s="329"/>
      <c r="F4" s="329"/>
      <c r="G4" s="329"/>
      <c r="H4" s="329"/>
      <c r="I4" s="330"/>
    </row>
    <row r="5" spans="1:9" ht="15.75" customHeight="1" thickBot="1" x14ac:dyDescent="0.3">
      <c r="B5" s="327"/>
      <c r="C5" s="331"/>
      <c r="D5" s="332"/>
      <c r="E5" s="332"/>
      <c r="F5" s="332"/>
      <c r="G5" s="332"/>
      <c r="H5" s="332"/>
      <c r="I5" s="333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29" t="s">
        <v>78</v>
      </c>
      <c r="C7" s="230"/>
      <c r="D7" s="230"/>
      <c r="E7" s="230"/>
      <c r="F7" s="230"/>
      <c r="G7" s="230"/>
      <c r="H7" s="230"/>
      <c r="I7" s="231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4" t="s">
        <v>0</v>
      </c>
      <c r="C9" s="315"/>
      <c r="D9" s="198" t="s">
        <v>180</v>
      </c>
      <c r="F9" s="314" t="s">
        <v>3</v>
      </c>
      <c r="G9" s="315"/>
      <c r="H9" s="315"/>
      <c r="I9" s="143">
        <v>60</v>
      </c>
    </row>
    <row r="10" spans="1:9" ht="15.75" x14ac:dyDescent="0.25">
      <c r="B10" s="316" t="s">
        <v>1</v>
      </c>
      <c r="C10" s="317"/>
      <c r="D10" s="187">
        <v>204</v>
      </c>
      <c r="F10" s="316" t="s">
        <v>71</v>
      </c>
      <c r="G10" s="317"/>
      <c r="H10" s="317"/>
      <c r="I10" s="175">
        <f>I12/I11</f>
        <v>49.585909090909098</v>
      </c>
    </row>
    <row r="11" spans="1:9" ht="15.75" x14ac:dyDescent="0.25">
      <c r="B11" s="316" t="s">
        <v>75</v>
      </c>
      <c r="C11" s="317"/>
      <c r="D11" s="187">
        <v>10</v>
      </c>
      <c r="F11" s="316" t="s">
        <v>2</v>
      </c>
      <c r="G11" s="317"/>
      <c r="H11" s="317"/>
      <c r="I11" s="187">
        <v>22</v>
      </c>
    </row>
    <row r="12" spans="1:9" ht="15.75" x14ac:dyDescent="0.25">
      <c r="B12" s="316" t="s">
        <v>2</v>
      </c>
      <c r="C12" s="317"/>
      <c r="D12" s="187">
        <v>22</v>
      </c>
      <c r="F12" s="316" t="s">
        <v>72</v>
      </c>
      <c r="G12" s="317"/>
      <c r="H12" s="317"/>
      <c r="I12" s="187">
        <v>1090.8900000000001</v>
      </c>
    </row>
    <row r="13" spans="1:9" ht="16.5" thickBot="1" x14ac:dyDescent="0.3">
      <c r="B13" s="186"/>
      <c r="C13" s="252"/>
      <c r="D13" s="334"/>
      <c r="E13" s="182"/>
      <c r="F13" s="213" t="s">
        <v>73</v>
      </c>
      <c r="G13" s="214"/>
      <c r="H13" s="214"/>
      <c r="I13" s="189">
        <f>I12*D11</f>
        <v>10908.900000000001</v>
      </c>
    </row>
    <row r="14" spans="1:9" ht="16.5" thickBot="1" x14ac:dyDescent="0.3">
      <c r="B14" s="178"/>
      <c r="C14" s="290"/>
      <c r="D14" s="313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29" t="s">
        <v>79</v>
      </c>
      <c r="C16" s="230"/>
      <c r="D16" s="230"/>
      <c r="E16" s="230"/>
      <c r="F16" s="230"/>
      <c r="G16" s="230"/>
      <c r="H16" s="230"/>
      <c r="I16" s="231"/>
    </row>
    <row r="17" spans="2:12" ht="16.5" thickBot="1" x14ac:dyDescent="0.3">
      <c r="B17" s="14"/>
      <c r="C17" s="14"/>
      <c r="D17" s="14"/>
      <c r="E17" s="14"/>
      <c r="F17" s="13"/>
      <c r="G17" s="190"/>
      <c r="H17" s="250"/>
      <c r="I17" s="250"/>
    </row>
    <row r="18" spans="2:12" ht="16.5" thickBot="1" x14ac:dyDescent="0.3">
      <c r="B18" s="209" t="s">
        <v>133</v>
      </c>
      <c r="C18" s="210"/>
      <c r="D18" s="210" t="s">
        <v>4</v>
      </c>
      <c r="E18" s="210"/>
      <c r="F18" s="210" t="s">
        <v>5</v>
      </c>
      <c r="G18" s="210"/>
      <c r="H18" s="210" t="s">
        <v>6</v>
      </c>
      <c r="I18" s="312"/>
    </row>
    <row r="19" spans="2:12" ht="15.75" x14ac:dyDescent="0.25">
      <c r="B19" s="308" t="s">
        <v>100</v>
      </c>
      <c r="C19" s="309"/>
      <c r="D19" s="304">
        <v>0.27083333333333331</v>
      </c>
      <c r="E19" s="304"/>
      <c r="F19" s="304">
        <v>0.29166666666666669</v>
      </c>
      <c r="G19" s="304"/>
      <c r="H19" s="304">
        <f>F19-D19</f>
        <v>2.083333333333337E-2</v>
      </c>
      <c r="I19" s="305"/>
    </row>
    <row r="20" spans="2:12" ht="15.75" x14ac:dyDescent="0.25">
      <c r="B20" s="308" t="s">
        <v>101</v>
      </c>
      <c r="C20" s="309"/>
      <c r="D20" s="303">
        <v>0.47916666666666669</v>
      </c>
      <c r="E20" s="303"/>
      <c r="F20" s="303">
        <v>0.52083333333333337</v>
      </c>
      <c r="G20" s="303"/>
      <c r="H20" s="304">
        <f t="shared" ref="H20:H24" si="0">F20-D20</f>
        <v>4.1666666666666685E-2</v>
      </c>
      <c r="I20" s="305"/>
      <c r="L20">
        <f>3*60+40</f>
        <v>220</v>
      </c>
    </row>
    <row r="21" spans="2:12" ht="15.75" x14ac:dyDescent="0.25">
      <c r="B21" s="308" t="s">
        <v>184</v>
      </c>
      <c r="C21" s="309"/>
      <c r="D21" s="310"/>
      <c r="E21" s="311"/>
      <c r="F21" s="310"/>
      <c r="G21" s="311"/>
      <c r="H21" s="304">
        <f t="shared" si="0"/>
        <v>0</v>
      </c>
      <c r="I21" s="305"/>
    </row>
    <row r="22" spans="2:12" ht="15.75" x14ac:dyDescent="0.25">
      <c r="B22" s="308" t="s">
        <v>185</v>
      </c>
      <c r="C22" s="309"/>
      <c r="D22" s="303"/>
      <c r="E22" s="303"/>
      <c r="F22" s="303"/>
      <c r="G22" s="303"/>
      <c r="H22" s="304">
        <f t="shared" si="0"/>
        <v>0</v>
      </c>
      <c r="I22" s="305"/>
    </row>
    <row r="23" spans="2:12" ht="15.75" x14ac:dyDescent="0.25">
      <c r="B23" s="308" t="s">
        <v>186</v>
      </c>
      <c r="C23" s="309"/>
      <c r="D23" s="303">
        <v>0.70833333333333337</v>
      </c>
      <c r="E23" s="303"/>
      <c r="F23" s="303">
        <v>0.76041666666666663</v>
      </c>
      <c r="G23" s="303"/>
      <c r="H23" s="304">
        <f t="shared" si="0"/>
        <v>5.2083333333333259E-2</v>
      </c>
      <c r="I23" s="305"/>
    </row>
    <row r="24" spans="2:12" ht="15.75" x14ac:dyDescent="0.25">
      <c r="B24" s="308" t="s">
        <v>187</v>
      </c>
      <c r="C24" s="309"/>
      <c r="D24" s="303">
        <v>0.94791666666666663</v>
      </c>
      <c r="E24" s="303"/>
      <c r="F24" s="303">
        <v>0.98611111111111116</v>
      </c>
      <c r="G24" s="303"/>
      <c r="H24" s="304">
        <f t="shared" si="0"/>
        <v>3.8194444444444531E-2</v>
      </c>
      <c r="I24" s="305"/>
      <c r="J24" s="6"/>
    </row>
    <row r="25" spans="2:12" ht="16.5" thickBot="1" x14ac:dyDescent="0.3">
      <c r="B25" s="227" t="s">
        <v>131</v>
      </c>
      <c r="C25" s="228"/>
      <c r="D25" s="228"/>
      <c r="E25" s="228"/>
      <c r="F25" s="228"/>
      <c r="G25" s="228"/>
      <c r="H25" s="306">
        <f>SUM(H19:I24)</f>
        <v>0.15277777777777785</v>
      </c>
      <c r="I25" s="307"/>
      <c r="J25" s="6"/>
      <c r="L25">
        <f>L20</f>
        <v>220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3.6666666666666665</v>
      </c>
    </row>
    <row r="27" spans="2:12" ht="16.5" thickBot="1" x14ac:dyDescent="0.3">
      <c r="B27" s="296" t="s">
        <v>141</v>
      </c>
      <c r="C27" s="297"/>
      <c r="D27" s="298"/>
      <c r="E27" s="190"/>
      <c r="G27" s="299" t="s">
        <v>130</v>
      </c>
      <c r="H27" s="300"/>
      <c r="I27" s="301"/>
    </row>
    <row r="28" spans="2:12" ht="16.5" thickBot="1" x14ac:dyDescent="0.3">
      <c r="B28" s="176" t="s">
        <v>135</v>
      </c>
      <c r="C28" s="177" t="s">
        <v>132</v>
      </c>
      <c r="D28" s="191" t="s">
        <v>136</v>
      </c>
      <c r="E28" s="190"/>
      <c r="G28" s="275" t="s">
        <v>137</v>
      </c>
      <c r="H28" s="276"/>
      <c r="I28" s="161">
        <f>B34*22</f>
        <v>80.666666666666657</v>
      </c>
    </row>
    <row r="29" spans="2:12" ht="15.75" x14ac:dyDescent="0.25">
      <c r="B29" s="164">
        <f>H19</f>
        <v>2.083333333333337E-2</v>
      </c>
      <c r="C29" s="141">
        <v>1.0416666666666666E-2</v>
      </c>
      <c r="D29" s="193">
        <f>C29+B29</f>
        <v>3.1250000000000035E-2</v>
      </c>
      <c r="E29" s="190"/>
      <c r="G29" s="251" t="s">
        <v>138</v>
      </c>
      <c r="H29" s="252"/>
      <c r="I29" s="162">
        <f>C34*22</f>
        <v>11</v>
      </c>
    </row>
    <row r="30" spans="2:12" ht="15.75" x14ac:dyDescent="0.25">
      <c r="B30" s="164">
        <f t="shared" ref="B30:B33" si="1">H20</f>
        <v>4.1666666666666685E-2</v>
      </c>
      <c r="C30" s="141">
        <v>1.0416666666666666E-2</v>
      </c>
      <c r="D30" s="193">
        <f t="shared" ref="D30:D33" si="2">C30+B30</f>
        <v>5.208333333333335E-2</v>
      </c>
      <c r="E30" s="190"/>
      <c r="G30" s="251" t="s">
        <v>139</v>
      </c>
      <c r="H30" s="252"/>
      <c r="I30" s="162">
        <f>I28+I29</f>
        <v>91.666666666666657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1" t="s">
        <v>134</v>
      </c>
      <c r="H31" s="252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1" t="s">
        <v>140</v>
      </c>
      <c r="H32" s="252"/>
      <c r="I32" s="162">
        <f>I30*0.25</f>
        <v>22.916666666666664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27" t="s">
        <v>130</v>
      </c>
      <c r="H33" s="228"/>
      <c r="I33" s="163">
        <f>((I30+I32)/I31)</f>
        <v>0.52083333333333326</v>
      </c>
    </row>
    <row r="34" spans="1:13" ht="16.5" thickBot="1" x14ac:dyDescent="0.3">
      <c r="B34" s="205">
        <f>L26</f>
        <v>3.6666666666666665</v>
      </c>
      <c r="C34" s="206">
        <v>0.5</v>
      </c>
      <c r="D34" s="207">
        <f>SUM(B34:C34)</f>
        <v>4.1666666666666661</v>
      </c>
      <c r="E34" s="190"/>
      <c r="F34" s="293"/>
      <c r="G34" s="293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29" t="s">
        <v>80</v>
      </c>
      <c r="C36" s="230"/>
      <c r="D36" s="230"/>
      <c r="E36" s="230"/>
      <c r="F36" s="230"/>
      <c r="G36" s="230"/>
      <c r="H36" s="230"/>
      <c r="I36" s="231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29" t="s">
        <v>94</v>
      </c>
      <c r="C38" s="230"/>
      <c r="D38" s="230"/>
      <c r="E38" s="231"/>
      <c r="F38" s="14"/>
      <c r="J38" s="22"/>
    </row>
    <row r="39" spans="1:13" ht="15.75" customHeight="1" x14ac:dyDescent="0.25">
      <c r="B39" s="273" t="s">
        <v>192</v>
      </c>
      <c r="C39" s="294"/>
      <c r="D39" s="294"/>
      <c r="E39" s="295"/>
      <c r="F39" s="14"/>
      <c r="J39" s="182"/>
    </row>
    <row r="40" spans="1:13" ht="15.75" customHeight="1" x14ac:dyDescent="0.25">
      <c r="B40" s="240" t="s">
        <v>93</v>
      </c>
      <c r="C40" s="242"/>
      <c r="D40" s="241"/>
      <c r="E40" s="195">
        <v>15</v>
      </c>
      <c r="F40" s="14"/>
      <c r="J40" s="182"/>
    </row>
    <row r="41" spans="1:13" ht="15.75" customHeight="1" x14ac:dyDescent="0.25">
      <c r="B41" s="240" t="s">
        <v>88</v>
      </c>
      <c r="C41" s="242"/>
      <c r="D41" s="241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0" t="s">
        <v>177</v>
      </c>
      <c r="C42" s="242"/>
      <c r="D42" s="241"/>
      <c r="E42" s="195">
        <v>0</v>
      </c>
      <c r="F42" s="16"/>
      <c r="G42" s="30"/>
      <c r="H42" s="30"/>
      <c r="I42" s="30"/>
      <c r="J42" s="182"/>
    </row>
    <row r="43" spans="1:13" ht="15.75" customHeight="1" x14ac:dyDescent="0.25">
      <c r="B43" s="240" t="s">
        <v>91</v>
      </c>
      <c r="C43" s="242"/>
      <c r="D43" s="241"/>
      <c r="E43" s="158">
        <v>0</v>
      </c>
      <c r="F43" s="60"/>
      <c r="J43" s="182"/>
    </row>
    <row r="44" spans="1:13" ht="15.75" customHeight="1" x14ac:dyDescent="0.25">
      <c r="B44" s="251" t="s">
        <v>119</v>
      </c>
      <c r="C44" s="252"/>
      <c r="D44" s="252"/>
      <c r="E44" s="159">
        <v>0.1</v>
      </c>
      <c r="F44" s="14"/>
    </row>
    <row r="45" spans="1:13" ht="15.75" customHeight="1" x14ac:dyDescent="0.25">
      <c r="A45" t="s">
        <v>7</v>
      </c>
      <c r="B45" s="251" t="s">
        <v>8</v>
      </c>
      <c r="C45" s="252"/>
      <c r="D45" s="252"/>
      <c r="E45" s="158">
        <v>0</v>
      </c>
      <c r="F45" s="14"/>
    </row>
    <row r="46" spans="1:13" ht="15.75" customHeight="1" x14ac:dyDescent="0.25">
      <c r="B46" s="251" t="s">
        <v>89</v>
      </c>
      <c r="C46" s="252"/>
      <c r="D46" s="252"/>
      <c r="E46" s="195">
        <v>0</v>
      </c>
      <c r="F46" s="14"/>
    </row>
    <row r="47" spans="1:13" ht="15.75" customHeight="1" x14ac:dyDescent="0.25">
      <c r="B47" s="251" t="s">
        <v>90</v>
      </c>
      <c r="C47" s="252"/>
      <c r="D47" s="252"/>
      <c r="E47" s="195">
        <v>0</v>
      </c>
      <c r="F47" s="14"/>
    </row>
    <row r="48" spans="1:13" ht="15.75" customHeight="1" thickBot="1" x14ac:dyDescent="0.3">
      <c r="B48" s="289" t="s">
        <v>92</v>
      </c>
      <c r="C48" s="290"/>
      <c r="D48" s="290"/>
      <c r="E48" s="160">
        <v>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29" t="s">
        <v>95</v>
      </c>
      <c r="C50" s="230"/>
      <c r="D50" s="230"/>
      <c r="E50" s="230"/>
      <c r="F50" s="230"/>
      <c r="G50" s="231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103</v>
      </c>
      <c r="F51" s="29" t="s">
        <v>113</v>
      </c>
      <c r="G51" s="31" t="s">
        <v>115</v>
      </c>
    </row>
    <row r="52" spans="2:13" ht="15.75" customHeight="1" x14ac:dyDescent="0.25">
      <c r="B52" s="21"/>
      <c r="C52" s="19" t="s">
        <v>104</v>
      </c>
      <c r="D52" s="20" t="s">
        <v>14</v>
      </c>
      <c r="E52" s="19" t="s">
        <v>112</v>
      </c>
      <c r="F52" s="20" t="s">
        <v>114</v>
      </c>
      <c r="G52" s="32" t="s">
        <v>116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0</v>
      </c>
      <c r="F53" s="83">
        <f>E53*D53</f>
        <v>0</v>
      </c>
      <c r="G53" s="84">
        <f>F53/C53*I12</f>
        <v>0</v>
      </c>
    </row>
    <row r="54" spans="2:13" ht="15.75" customHeight="1" x14ac:dyDescent="0.25">
      <c r="B54" s="85" t="s">
        <v>105</v>
      </c>
      <c r="C54" s="86">
        <v>20000</v>
      </c>
      <c r="D54" s="184">
        <v>12</v>
      </c>
      <c r="E54" s="151">
        <v>0</v>
      </c>
      <c r="F54" s="83">
        <f t="shared" ref="F54:F64" si="3">E54*D54</f>
        <v>0</v>
      </c>
      <c r="G54" s="84">
        <f>F54/C54*I12</f>
        <v>0</v>
      </c>
    </row>
    <row r="55" spans="2:13" ht="15.75" customHeight="1" x14ac:dyDescent="0.25">
      <c r="B55" s="85" t="s">
        <v>111</v>
      </c>
      <c r="C55" s="86">
        <v>20000</v>
      </c>
      <c r="D55" s="184">
        <v>1</v>
      </c>
      <c r="E55" s="83">
        <v>0</v>
      </c>
      <c r="F55" s="83">
        <f t="shared" si="3"/>
        <v>0</v>
      </c>
      <c r="G55" s="84">
        <f>F55/C55*I12</f>
        <v>0</v>
      </c>
      <c r="J55" s="18"/>
      <c r="K55" s="18"/>
      <c r="L55" s="182"/>
      <c r="M55" s="182"/>
    </row>
    <row r="56" spans="2:13" ht="15.75" customHeight="1" x14ac:dyDescent="0.25">
      <c r="B56" s="85" t="s">
        <v>162</v>
      </c>
      <c r="C56" s="86">
        <v>60000</v>
      </c>
      <c r="D56" s="184">
        <v>4</v>
      </c>
      <c r="E56" s="83">
        <v>0</v>
      </c>
      <c r="F56" s="83">
        <f t="shared" si="3"/>
        <v>0</v>
      </c>
      <c r="G56" s="84">
        <f>F56/C56*I13</f>
        <v>0</v>
      </c>
      <c r="J56" s="18"/>
      <c r="K56" s="18"/>
      <c r="L56" s="182"/>
      <c r="M56" s="182"/>
    </row>
    <row r="57" spans="2:13" ht="15.75" customHeight="1" x14ac:dyDescent="0.25">
      <c r="B57" s="85" t="s">
        <v>110</v>
      </c>
      <c r="C57" s="86">
        <v>60000</v>
      </c>
      <c r="D57" s="184">
        <v>2</v>
      </c>
      <c r="E57" s="83">
        <v>0</v>
      </c>
      <c r="F57" s="83">
        <f t="shared" si="3"/>
        <v>0</v>
      </c>
      <c r="G57" s="84">
        <f>F57/C57*I12</f>
        <v>0</v>
      </c>
      <c r="J57" s="18"/>
      <c r="K57" s="18"/>
      <c r="L57" s="182"/>
      <c r="M57" s="182"/>
    </row>
    <row r="58" spans="2:13" ht="15.75" customHeight="1" x14ac:dyDescent="0.25">
      <c r="B58" s="139" t="s">
        <v>122</v>
      </c>
      <c r="C58" s="86">
        <v>40000</v>
      </c>
      <c r="D58" s="184">
        <v>2</v>
      </c>
      <c r="E58" s="83">
        <v>0</v>
      </c>
      <c r="F58" s="83">
        <f t="shared" si="3"/>
        <v>0</v>
      </c>
      <c r="G58" s="84">
        <f>F58/C58*I12</f>
        <v>0</v>
      </c>
      <c r="J58" s="18"/>
    </row>
    <row r="59" spans="2:13" ht="15.75" customHeight="1" x14ac:dyDescent="0.25">
      <c r="B59" s="139" t="s">
        <v>102</v>
      </c>
      <c r="C59" s="291">
        <v>80000</v>
      </c>
      <c r="D59" s="255">
        <v>6</v>
      </c>
      <c r="E59" s="292">
        <v>0</v>
      </c>
      <c r="F59" s="292">
        <f>D59*E59</f>
        <v>0</v>
      </c>
      <c r="G59" s="256">
        <f>F59/C59*I12</f>
        <v>0</v>
      </c>
      <c r="J59" s="18"/>
    </row>
    <row r="60" spans="2:13" ht="15.75" customHeight="1" x14ac:dyDescent="0.25">
      <c r="B60" s="140" t="s">
        <v>109</v>
      </c>
      <c r="C60" s="291"/>
      <c r="D60" s="255"/>
      <c r="E60" s="292"/>
      <c r="F60" s="292"/>
      <c r="G60" s="256"/>
      <c r="J60" s="18"/>
    </row>
    <row r="61" spans="2:13" ht="15.75" customHeight="1" x14ac:dyDescent="0.25">
      <c r="B61" s="140" t="s">
        <v>108</v>
      </c>
      <c r="C61" s="86">
        <v>20000</v>
      </c>
      <c r="D61" s="184">
        <v>2</v>
      </c>
      <c r="E61" s="83">
        <v>0</v>
      </c>
      <c r="F61" s="83">
        <f t="shared" si="3"/>
        <v>0</v>
      </c>
      <c r="G61" s="84">
        <f>F61/C61*I12</f>
        <v>0</v>
      </c>
      <c r="J61" s="18"/>
    </row>
    <row r="62" spans="2:13" ht="15.75" customHeight="1" x14ac:dyDescent="0.25">
      <c r="B62" s="85" t="s">
        <v>106</v>
      </c>
      <c r="C62" s="86">
        <v>60000</v>
      </c>
      <c r="D62" s="184">
        <v>1</v>
      </c>
      <c r="E62" s="83">
        <v>0</v>
      </c>
      <c r="F62" s="83">
        <f t="shared" si="3"/>
        <v>0</v>
      </c>
      <c r="G62" s="84">
        <f>F62/C62*I12</f>
        <v>0</v>
      </c>
      <c r="J62" s="18"/>
    </row>
    <row r="63" spans="2:13" ht="15.75" customHeight="1" x14ac:dyDescent="0.25">
      <c r="B63" s="85" t="s">
        <v>107</v>
      </c>
      <c r="C63" s="86">
        <v>20000</v>
      </c>
      <c r="D63" s="184">
        <v>1</v>
      </c>
      <c r="E63" s="83">
        <v>0</v>
      </c>
      <c r="F63" s="83">
        <f t="shared" si="3"/>
        <v>0</v>
      </c>
      <c r="G63" s="84">
        <f>F63/C63*I12</f>
        <v>0</v>
      </c>
      <c r="J63" s="18"/>
      <c r="K63" s="24"/>
      <c r="L63" s="24"/>
      <c r="M63" s="17"/>
    </row>
    <row r="64" spans="2:13" ht="15.75" customHeight="1" x14ac:dyDescent="0.25">
      <c r="B64" s="85" t="s">
        <v>176</v>
      </c>
      <c r="C64" s="86">
        <v>25000</v>
      </c>
      <c r="D64" s="184">
        <v>4</v>
      </c>
      <c r="E64" s="151">
        <v>0</v>
      </c>
      <c r="F64" s="83">
        <f t="shared" si="3"/>
        <v>0</v>
      </c>
      <c r="G64" s="84">
        <f>F64/C64*I12</f>
        <v>0</v>
      </c>
      <c r="H64" s="14"/>
      <c r="J64" s="18"/>
      <c r="K64" s="18"/>
    </row>
    <row r="65" spans="2:12" ht="15.75" customHeight="1" x14ac:dyDescent="0.25">
      <c r="B65" s="85" t="s">
        <v>117</v>
      </c>
      <c r="C65" s="184" t="s">
        <v>118</v>
      </c>
      <c r="D65" s="184">
        <v>1</v>
      </c>
      <c r="E65" s="83">
        <v>0</v>
      </c>
      <c r="F65" s="83">
        <f>E65*3</f>
        <v>0</v>
      </c>
      <c r="G65" s="84">
        <f>F65</f>
        <v>0</v>
      </c>
      <c r="I65" s="150"/>
      <c r="J65" s="18"/>
      <c r="K65" s="18"/>
    </row>
    <row r="66" spans="2:12" ht="15.75" customHeight="1" thickBot="1" x14ac:dyDescent="0.3">
      <c r="B66" s="227" t="s">
        <v>120</v>
      </c>
      <c r="C66" s="228"/>
      <c r="D66" s="228"/>
      <c r="E66" s="228"/>
      <c r="F66" s="228"/>
      <c r="G66" s="90">
        <f>SUM(G53:G65)</f>
        <v>0</v>
      </c>
      <c r="H66" s="250"/>
      <c r="I66" s="250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4" t="s">
        <v>87</v>
      </c>
      <c r="C68" s="235"/>
      <c r="D68" s="235"/>
      <c r="E68" s="235"/>
      <c r="F68" s="235"/>
      <c r="G68" s="236"/>
      <c r="I68" s="182"/>
      <c r="J68" s="18"/>
      <c r="K68" s="18"/>
    </row>
    <row r="69" spans="2:12" ht="15.75" customHeight="1" x14ac:dyDescent="0.25">
      <c r="B69" s="284" t="s">
        <v>124</v>
      </c>
      <c r="C69" s="65" t="s">
        <v>143</v>
      </c>
      <c r="D69" s="29" t="s">
        <v>125</v>
      </c>
      <c r="E69" s="29" t="s">
        <v>25</v>
      </c>
      <c r="F69" s="58" t="s">
        <v>128</v>
      </c>
      <c r="G69" s="56" t="s">
        <v>126</v>
      </c>
      <c r="I69" s="182"/>
      <c r="J69" s="18"/>
      <c r="K69" s="18"/>
    </row>
    <row r="70" spans="2:12" ht="15.75" customHeight="1" x14ac:dyDescent="0.25">
      <c r="B70" s="285"/>
      <c r="C70" s="66" t="s">
        <v>144</v>
      </c>
      <c r="D70" s="20" t="s">
        <v>127</v>
      </c>
      <c r="E70" s="20" t="s">
        <v>112</v>
      </c>
      <c r="F70" s="67" t="s">
        <v>116</v>
      </c>
      <c r="G70" s="57" t="s">
        <v>116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0</v>
      </c>
      <c r="F71" s="128">
        <f>E71</f>
        <v>0</v>
      </c>
      <c r="G71" s="203">
        <f>F71/12</f>
        <v>0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96</v>
      </c>
      <c r="C73" s="153">
        <v>0</v>
      </c>
      <c r="D73" s="154">
        <v>0.5</v>
      </c>
      <c r="E73" s="151">
        <v>0</v>
      </c>
      <c r="F73" s="130">
        <f>E73*D73</f>
        <v>0</v>
      </c>
      <c r="G73" s="84">
        <f>F73/12</f>
        <v>0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0</v>
      </c>
      <c r="F74" s="130">
        <f>E74</f>
        <v>0</v>
      </c>
      <c r="G74" s="84">
        <f>F74/12</f>
        <v>0</v>
      </c>
      <c r="H74" s="182"/>
      <c r="I74" s="182"/>
      <c r="J74" s="18"/>
      <c r="K74" s="18"/>
    </row>
    <row r="75" spans="2:12" ht="15.75" customHeight="1" x14ac:dyDescent="0.25">
      <c r="B75" s="152" t="s">
        <v>97</v>
      </c>
      <c r="C75" s="153">
        <v>0</v>
      </c>
      <c r="D75" s="154">
        <v>2</v>
      </c>
      <c r="E75" s="151">
        <v>0</v>
      </c>
      <c r="F75" s="130">
        <f>E75*D75</f>
        <v>0</v>
      </c>
      <c r="G75" s="84">
        <f>F75/12</f>
        <v>0</v>
      </c>
      <c r="I75" s="182"/>
    </row>
    <row r="76" spans="2:12" ht="15.75" customHeight="1" x14ac:dyDescent="0.25">
      <c r="B76" s="125" t="s">
        <v>129</v>
      </c>
      <c r="C76" s="131">
        <f>I33</f>
        <v>0.52083333333333326</v>
      </c>
      <c r="D76" s="132">
        <v>0.1</v>
      </c>
      <c r="E76" s="118">
        <f>E43</f>
        <v>0</v>
      </c>
      <c r="F76" s="133">
        <f>E76*D76*C76</f>
        <v>0</v>
      </c>
      <c r="G76" s="134">
        <f>F76/12</f>
        <v>0</v>
      </c>
      <c r="I76" s="182"/>
    </row>
    <row r="77" spans="2:12" ht="15.75" customHeight="1" x14ac:dyDescent="0.25">
      <c r="B77" s="125" t="s">
        <v>142</v>
      </c>
      <c r="C77" s="131">
        <f>C76</f>
        <v>0.52083333333333326</v>
      </c>
      <c r="D77" s="132">
        <v>0.02</v>
      </c>
      <c r="E77" s="118">
        <f>E45</f>
        <v>0</v>
      </c>
      <c r="F77" s="133">
        <f>E77*D77*C77</f>
        <v>0</v>
      </c>
      <c r="G77" s="134">
        <f>F77/12</f>
        <v>0</v>
      </c>
      <c r="H77" s="6"/>
      <c r="I77" s="182"/>
      <c r="J77" s="6"/>
      <c r="K77" s="6"/>
      <c r="L77" s="6"/>
    </row>
    <row r="78" spans="2:12" ht="15.75" customHeight="1" thickBot="1" x14ac:dyDescent="0.3">
      <c r="B78" s="286" t="s">
        <v>120</v>
      </c>
      <c r="C78" s="287"/>
      <c r="D78" s="287"/>
      <c r="E78" s="287"/>
      <c r="F78" s="288"/>
      <c r="G78" s="90">
        <f>SUM(G71:G77)</f>
        <v>0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29" t="s">
        <v>98</v>
      </c>
      <c r="C80" s="230"/>
      <c r="D80" s="231"/>
      <c r="E80" s="24" t="s">
        <v>7</v>
      </c>
      <c r="F80" s="229" t="s">
        <v>123</v>
      </c>
      <c r="G80" s="231"/>
      <c r="H80" s="22"/>
      <c r="I80" s="182"/>
      <c r="J80" s="6"/>
      <c r="K80" s="6"/>
      <c r="L80" s="6"/>
    </row>
    <row r="81" spans="2:12" ht="15.75" customHeight="1" x14ac:dyDescent="0.25">
      <c r="B81" s="257" t="s">
        <v>181</v>
      </c>
      <c r="C81" s="282"/>
      <c r="D81" s="155">
        <v>0</v>
      </c>
      <c r="E81" s="59"/>
      <c r="F81" s="197" t="s">
        <v>83</v>
      </c>
      <c r="G81" s="136">
        <f>G66</f>
        <v>0</v>
      </c>
      <c r="H81" s="6"/>
      <c r="I81" s="182"/>
      <c r="J81" s="6"/>
      <c r="K81" s="25"/>
      <c r="L81" s="6"/>
    </row>
    <row r="82" spans="2:12" ht="15.75" customHeight="1" x14ac:dyDescent="0.25">
      <c r="B82" s="240" t="s">
        <v>99</v>
      </c>
      <c r="C82" s="242"/>
      <c r="D82" s="195">
        <v>0</v>
      </c>
      <c r="E82" s="24"/>
      <c r="F82" s="181" t="s">
        <v>84</v>
      </c>
      <c r="G82" s="84">
        <f>G78</f>
        <v>0</v>
      </c>
      <c r="H82" s="6"/>
      <c r="I82" s="182"/>
      <c r="J82" s="6"/>
      <c r="K82" s="25"/>
      <c r="L82" s="6"/>
    </row>
    <row r="83" spans="2:12" ht="15.75" customHeight="1" x14ac:dyDescent="0.25">
      <c r="B83" s="240" t="s">
        <v>121</v>
      </c>
      <c r="C83" s="242"/>
      <c r="D83" s="195">
        <v>0</v>
      </c>
      <c r="E83" s="24"/>
      <c r="F83" s="183" t="s">
        <v>85</v>
      </c>
      <c r="G83" s="84">
        <f>D84</f>
        <v>0</v>
      </c>
      <c r="H83" s="6"/>
      <c r="I83" s="182"/>
      <c r="J83" s="6"/>
      <c r="K83" s="25"/>
      <c r="L83" s="6"/>
    </row>
    <row r="84" spans="2:12" ht="15.75" customHeight="1" thickBot="1" x14ac:dyDescent="0.3">
      <c r="B84" s="269" t="s">
        <v>120</v>
      </c>
      <c r="C84" s="283"/>
      <c r="D84" s="157">
        <v>0</v>
      </c>
      <c r="E84" s="75"/>
      <c r="F84" s="179" t="s">
        <v>156</v>
      </c>
      <c r="G84" s="90">
        <f>SUM(G81:G83)</f>
        <v>0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29" t="s">
        <v>81</v>
      </c>
      <c r="C86" s="230"/>
      <c r="D86" s="230"/>
      <c r="E86" s="230"/>
      <c r="F86" s="230"/>
      <c r="G86" s="230"/>
      <c r="H86" s="230"/>
      <c r="I86" s="231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4" t="s">
        <v>15</v>
      </c>
      <c r="C88" s="235"/>
      <c r="D88" s="235"/>
      <c r="E88" s="235"/>
      <c r="F88" s="236"/>
      <c r="G88" s="14"/>
      <c r="H88" s="14"/>
      <c r="I88" s="14"/>
    </row>
    <row r="89" spans="2:12" ht="15.75" x14ac:dyDescent="0.25">
      <c r="B89" s="275" t="s">
        <v>183</v>
      </c>
      <c r="C89" s="276"/>
      <c r="D89" s="277" t="s">
        <v>182</v>
      </c>
      <c r="E89" s="277"/>
      <c r="F89" s="278"/>
      <c r="G89" s="14"/>
      <c r="H89" s="14"/>
      <c r="I89" s="14"/>
    </row>
    <row r="90" spans="2:12" ht="15.75" x14ac:dyDescent="0.25">
      <c r="B90" s="251" t="s">
        <v>16</v>
      </c>
      <c r="C90" s="252"/>
      <c r="D90" s="279">
        <v>44571</v>
      </c>
      <c r="E90" s="280"/>
      <c r="F90" s="281"/>
      <c r="G90" s="14"/>
      <c r="H90" s="14"/>
      <c r="I90" s="14"/>
    </row>
    <row r="91" spans="2:12" ht="15.75" x14ac:dyDescent="0.25">
      <c r="B91" s="251" t="s">
        <v>17</v>
      </c>
      <c r="C91" s="252"/>
      <c r="D91" s="165">
        <v>0</v>
      </c>
      <c r="E91" s="184"/>
      <c r="F91" s="187"/>
      <c r="G91" s="14"/>
      <c r="H91" s="14"/>
      <c r="I91" s="14"/>
    </row>
    <row r="92" spans="2:12" ht="15.75" x14ac:dyDescent="0.25">
      <c r="B92" s="251" t="s">
        <v>18</v>
      </c>
      <c r="C92" s="252"/>
      <c r="D92" s="165">
        <v>0</v>
      </c>
      <c r="E92" s="184"/>
      <c r="F92" s="187"/>
      <c r="G92" s="14"/>
      <c r="H92" s="14"/>
      <c r="I92" s="14"/>
    </row>
    <row r="93" spans="2:12" ht="15.75" x14ac:dyDescent="0.25">
      <c r="B93" s="251" t="s">
        <v>19</v>
      </c>
      <c r="C93" s="252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1" t="s">
        <v>20</v>
      </c>
      <c r="C94" s="272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0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0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4" t="s">
        <v>29</v>
      </c>
      <c r="C99" s="235"/>
      <c r="D99" s="236"/>
      <c r="E99" s="17"/>
      <c r="F99" s="229" t="s">
        <v>147</v>
      </c>
      <c r="G99" s="230"/>
      <c r="H99" s="231"/>
      <c r="I99" s="14"/>
    </row>
    <row r="100" spans="2:9" ht="15.75" x14ac:dyDescent="0.25">
      <c r="B100" s="273" t="s">
        <v>30</v>
      </c>
      <c r="C100" s="274"/>
      <c r="D100" s="168">
        <v>0.09</v>
      </c>
      <c r="E100" s="17"/>
      <c r="F100" s="251" t="s">
        <v>34</v>
      </c>
      <c r="G100" s="252"/>
      <c r="H100" s="170">
        <f>D91</f>
        <v>0</v>
      </c>
      <c r="I100" s="14"/>
    </row>
    <row r="101" spans="2:9" ht="15.75" x14ac:dyDescent="0.25">
      <c r="B101" s="240" t="s">
        <v>31</v>
      </c>
      <c r="C101" s="241"/>
      <c r="D101" s="159">
        <v>0.11</v>
      </c>
      <c r="E101" s="17"/>
      <c r="F101" s="251" t="s">
        <v>35</v>
      </c>
      <c r="G101" s="252"/>
      <c r="H101" s="170"/>
      <c r="I101" s="14"/>
    </row>
    <row r="102" spans="2:9" ht="15.75" x14ac:dyDescent="0.25">
      <c r="B102" s="240" t="s">
        <v>32</v>
      </c>
      <c r="C102" s="241"/>
      <c r="D102" s="159">
        <v>0.05</v>
      </c>
      <c r="E102" s="17"/>
      <c r="F102" s="251" t="s">
        <v>36</v>
      </c>
      <c r="G102" s="252"/>
      <c r="H102" s="170"/>
      <c r="I102" s="14"/>
    </row>
    <row r="103" spans="2:9" ht="16.5" thickBot="1" x14ac:dyDescent="0.3">
      <c r="B103" s="269" t="s">
        <v>76</v>
      </c>
      <c r="C103" s="270"/>
      <c r="D103" s="169">
        <v>0.25</v>
      </c>
      <c r="E103" s="17"/>
      <c r="F103" s="251" t="s">
        <v>37</v>
      </c>
      <c r="G103" s="252"/>
      <c r="H103" s="170">
        <v>0</v>
      </c>
      <c r="I103" s="14"/>
    </row>
    <row r="104" spans="2:9" ht="16.5" thickBot="1" x14ac:dyDescent="0.3">
      <c r="B104" s="17"/>
      <c r="C104" s="17"/>
      <c r="D104" s="17"/>
      <c r="E104" s="17"/>
      <c r="F104" s="269" t="s">
        <v>153</v>
      </c>
      <c r="G104" s="270"/>
      <c r="H104" s="157">
        <v>0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29" t="s">
        <v>148</v>
      </c>
      <c r="C106" s="230"/>
      <c r="D106" s="230"/>
      <c r="E106" s="231"/>
      <c r="F106" s="14"/>
      <c r="G106" s="14"/>
      <c r="H106" s="14"/>
      <c r="I106" s="14"/>
    </row>
    <row r="107" spans="2:9" ht="16.5" thickBot="1" x14ac:dyDescent="0.3">
      <c r="B107" s="246" t="s">
        <v>150</v>
      </c>
      <c r="C107" s="247"/>
      <c r="D107" s="247"/>
      <c r="E107" s="248"/>
      <c r="F107" s="14"/>
      <c r="G107" s="14"/>
      <c r="H107" s="14"/>
      <c r="I107" s="14"/>
    </row>
    <row r="108" spans="2:9" ht="15.75" x14ac:dyDescent="0.25">
      <c r="B108" s="263" t="s">
        <v>40</v>
      </c>
      <c r="C108" s="264"/>
      <c r="D108" s="109">
        <v>8.3299999999999999E-2</v>
      </c>
      <c r="E108" s="171">
        <f>H104*D108</f>
        <v>0</v>
      </c>
      <c r="F108" s="14"/>
      <c r="G108" s="14"/>
      <c r="H108" s="14"/>
      <c r="I108" s="14"/>
    </row>
    <row r="109" spans="2:9" ht="15.75" x14ac:dyDescent="0.25">
      <c r="B109" s="240" t="s">
        <v>33</v>
      </c>
      <c r="C109" s="241"/>
      <c r="D109" s="101">
        <v>8.3299999999999999E-2</v>
      </c>
      <c r="E109" s="170">
        <f>H104*D109</f>
        <v>0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0</v>
      </c>
      <c r="F110" s="14"/>
      <c r="G110" s="14"/>
      <c r="H110" s="14"/>
      <c r="I110" s="14"/>
    </row>
    <row r="111" spans="2:9" ht="16.5" thickBot="1" x14ac:dyDescent="0.3">
      <c r="B111" s="267" t="s">
        <v>42</v>
      </c>
      <c r="C111" s="268"/>
      <c r="D111" s="268"/>
      <c r="E111" s="157">
        <f>SUM(E108:E110)</f>
        <v>0</v>
      </c>
      <c r="F111" s="14"/>
      <c r="G111" s="14"/>
      <c r="H111" s="14"/>
      <c r="I111" s="14"/>
    </row>
    <row r="112" spans="2:9" ht="16.5" thickBot="1" x14ac:dyDescent="0.3">
      <c r="B112" s="246" t="s">
        <v>151</v>
      </c>
      <c r="C112" s="247"/>
      <c r="D112" s="247"/>
      <c r="E112" s="248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0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1" t="s">
        <v>44</v>
      </c>
      <c r="C114" s="252"/>
      <c r="D114" s="94">
        <v>0.2</v>
      </c>
      <c r="E114" s="89">
        <f>C113*D114</f>
        <v>0</v>
      </c>
      <c r="F114" s="14"/>
      <c r="G114" s="14"/>
      <c r="H114" s="14"/>
      <c r="I114" s="14"/>
    </row>
    <row r="115" spans="2:9" ht="15.75" x14ac:dyDescent="0.25">
      <c r="B115" s="251" t="s">
        <v>45</v>
      </c>
      <c r="C115" s="252"/>
      <c r="D115" s="101">
        <v>2.5000000000000001E-2</v>
      </c>
      <c r="E115" s="84">
        <f>C113*D115</f>
        <v>0</v>
      </c>
      <c r="F115" s="14"/>
      <c r="G115" s="14"/>
      <c r="H115" s="14"/>
      <c r="I115" s="14"/>
    </row>
    <row r="116" spans="2:9" ht="15.75" x14ac:dyDescent="0.25">
      <c r="B116" s="251" t="s">
        <v>46</v>
      </c>
      <c r="C116" s="252"/>
      <c r="D116" s="101">
        <v>0.03</v>
      </c>
      <c r="E116" s="84">
        <f>C113*D116</f>
        <v>0</v>
      </c>
      <c r="F116" s="14"/>
      <c r="G116" s="14"/>
      <c r="H116" s="14"/>
      <c r="I116" s="14"/>
    </row>
    <row r="117" spans="2:9" ht="15.75" x14ac:dyDescent="0.25">
      <c r="B117" s="251" t="s">
        <v>47</v>
      </c>
      <c r="C117" s="252"/>
      <c r="D117" s="101">
        <v>1.4999999999999999E-2</v>
      </c>
      <c r="E117" s="84">
        <f>C113*D117</f>
        <v>0</v>
      </c>
      <c r="F117" s="14"/>
      <c r="G117" s="14"/>
      <c r="H117" s="14"/>
      <c r="I117" s="14"/>
    </row>
    <row r="118" spans="2:9" ht="15.75" x14ac:dyDescent="0.25">
      <c r="B118" s="251" t="s">
        <v>48</v>
      </c>
      <c r="C118" s="252"/>
      <c r="D118" s="94">
        <v>0.01</v>
      </c>
      <c r="E118" s="84">
        <f>C113*D118</f>
        <v>0</v>
      </c>
      <c r="F118" s="14"/>
      <c r="G118" s="14"/>
      <c r="H118" s="14"/>
      <c r="I118" s="14"/>
    </row>
    <row r="119" spans="2:9" ht="15.75" x14ac:dyDescent="0.25">
      <c r="B119" s="251" t="s">
        <v>49</v>
      </c>
      <c r="C119" s="252"/>
      <c r="D119" s="101">
        <v>6.0000000000000001E-3</v>
      </c>
      <c r="E119" s="84">
        <f>C113*D119</f>
        <v>0</v>
      </c>
      <c r="F119" s="14"/>
      <c r="G119" s="14"/>
      <c r="H119" s="14"/>
      <c r="I119" s="14"/>
    </row>
    <row r="120" spans="2:9" ht="15.75" x14ac:dyDescent="0.25">
      <c r="B120" s="251" t="s">
        <v>50</v>
      </c>
      <c r="C120" s="252"/>
      <c r="D120" s="101">
        <v>2E-3</v>
      </c>
      <c r="E120" s="84">
        <f>C113*D120</f>
        <v>0</v>
      </c>
      <c r="F120" s="14"/>
      <c r="G120" s="14"/>
      <c r="H120" s="14"/>
      <c r="I120" s="14"/>
    </row>
    <row r="121" spans="2:9" ht="15.75" x14ac:dyDescent="0.25">
      <c r="B121" s="265" t="s">
        <v>51</v>
      </c>
      <c r="C121" s="266"/>
      <c r="D121" s="107">
        <v>0.28799999999999998</v>
      </c>
      <c r="E121" s="89">
        <f>C113*D121</f>
        <v>0</v>
      </c>
      <c r="F121" s="14"/>
      <c r="G121" s="14"/>
      <c r="H121" s="14"/>
      <c r="I121" s="14"/>
    </row>
    <row r="122" spans="2:9" ht="15.75" x14ac:dyDescent="0.25">
      <c r="B122" s="251" t="s">
        <v>52</v>
      </c>
      <c r="C122" s="252"/>
      <c r="D122" s="101">
        <v>0.08</v>
      </c>
      <c r="E122" s="84">
        <f>C113*D122</f>
        <v>0</v>
      </c>
      <c r="F122" s="14"/>
      <c r="G122" s="14"/>
      <c r="H122" s="14"/>
      <c r="I122" s="14"/>
    </row>
    <row r="123" spans="2:9" ht="16.5" thickBot="1" x14ac:dyDescent="0.3">
      <c r="B123" s="267" t="s">
        <v>53</v>
      </c>
      <c r="C123" s="268"/>
      <c r="D123" s="108">
        <v>0.36799999999999999</v>
      </c>
      <c r="E123" s="90">
        <f>C113*D123</f>
        <v>0</v>
      </c>
      <c r="F123" s="14"/>
      <c r="G123" s="14"/>
      <c r="H123" s="14"/>
      <c r="I123" s="14"/>
    </row>
    <row r="124" spans="2:9" ht="16.5" thickBot="1" x14ac:dyDescent="0.3">
      <c r="B124" s="246" t="s">
        <v>152</v>
      </c>
      <c r="C124" s="247"/>
      <c r="D124" s="247"/>
      <c r="E124" s="248"/>
      <c r="F124" s="14"/>
      <c r="G124" s="14"/>
      <c r="H124" s="14"/>
      <c r="I124" s="14"/>
    </row>
    <row r="125" spans="2:9" ht="15.75" x14ac:dyDescent="0.25">
      <c r="B125" s="263" t="s">
        <v>54</v>
      </c>
      <c r="C125" s="264"/>
      <c r="D125" s="264"/>
      <c r="E125" s="203">
        <f>C96*D96*(1-E96)</f>
        <v>0</v>
      </c>
      <c r="F125" s="14"/>
      <c r="G125" s="14"/>
      <c r="H125" s="14"/>
      <c r="I125" s="14"/>
    </row>
    <row r="126" spans="2:9" ht="15.75" x14ac:dyDescent="0.25">
      <c r="B126" s="251" t="s">
        <v>55</v>
      </c>
      <c r="C126" s="252"/>
      <c r="D126" s="252"/>
      <c r="E126" s="84">
        <f>D97*80%</f>
        <v>0</v>
      </c>
      <c r="F126" s="14"/>
      <c r="G126" s="14"/>
      <c r="H126" s="14"/>
      <c r="I126" s="14"/>
    </row>
    <row r="127" spans="2:9" ht="15.75" x14ac:dyDescent="0.25">
      <c r="B127" s="215" t="s">
        <v>53</v>
      </c>
      <c r="C127" s="216"/>
      <c r="D127" s="216"/>
      <c r="E127" s="89">
        <f>SUM(E125:E126)</f>
        <v>0</v>
      </c>
      <c r="F127" s="14"/>
      <c r="G127" s="14"/>
      <c r="H127" s="14"/>
      <c r="I127" s="14"/>
    </row>
    <row r="128" spans="2:9" ht="16.5" thickBot="1" x14ac:dyDescent="0.3">
      <c r="B128" s="227" t="s">
        <v>154</v>
      </c>
      <c r="C128" s="228"/>
      <c r="D128" s="228"/>
      <c r="E128" s="90">
        <f>SUM(E127+E123+E111)</f>
        <v>0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4" t="s">
        <v>149</v>
      </c>
      <c r="C130" s="235"/>
      <c r="D130" s="235"/>
      <c r="E130" s="236"/>
      <c r="F130" s="14"/>
      <c r="G130" s="14"/>
      <c r="H130" s="14"/>
      <c r="I130" s="14"/>
    </row>
    <row r="131" spans="2:9" ht="16.5" thickBot="1" x14ac:dyDescent="0.3">
      <c r="B131" s="246" t="s">
        <v>56</v>
      </c>
      <c r="C131" s="247"/>
      <c r="D131" s="247"/>
      <c r="E131" s="248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0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1" t="s">
        <v>56</v>
      </c>
      <c r="C133" s="252"/>
      <c r="D133" s="184"/>
      <c r="E133" s="84">
        <f>C132/12</f>
        <v>0</v>
      </c>
      <c r="F133" s="14"/>
      <c r="G133" s="14"/>
      <c r="H133" s="14"/>
      <c r="I133" s="14"/>
    </row>
    <row r="134" spans="2:9" ht="15.75" x14ac:dyDescent="0.25">
      <c r="B134" s="251" t="s">
        <v>57</v>
      </c>
      <c r="C134" s="252"/>
      <c r="D134" s="94">
        <v>0.08</v>
      </c>
      <c r="E134" s="84">
        <f>E133*D134</f>
        <v>0</v>
      </c>
      <c r="F134" s="14"/>
      <c r="G134" s="14"/>
      <c r="H134" s="14"/>
      <c r="I134" s="14"/>
    </row>
    <row r="135" spans="2:9" ht="15.75" x14ac:dyDescent="0.25">
      <c r="B135" s="237" t="s">
        <v>58</v>
      </c>
      <c r="C135" s="253"/>
      <c r="D135" s="259">
        <v>0.5</v>
      </c>
      <c r="E135" s="261">
        <f>E122*D135</f>
        <v>0</v>
      </c>
      <c r="F135" s="14"/>
      <c r="G135" s="14"/>
      <c r="H135" s="14"/>
      <c r="I135" s="14"/>
    </row>
    <row r="136" spans="2:9" ht="15.75" x14ac:dyDescent="0.25">
      <c r="B136" s="257" t="s">
        <v>59</v>
      </c>
      <c r="C136" s="258"/>
      <c r="D136" s="260"/>
      <c r="E136" s="262"/>
      <c r="F136" s="14"/>
      <c r="G136" s="14"/>
      <c r="H136" s="14"/>
      <c r="I136" s="14"/>
    </row>
    <row r="137" spans="2:9" ht="16.5" thickBot="1" x14ac:dyDescent="0.3">
      <c r="B137" s="243" t="s">
        <v>53</v>
      </c>
      <c r="C137" s="244"/>
      <c r="D137" s="245"/>
      <c r="E137" s="102">
        <f>SUM(E133:E136)</f>
        <v>0</v>
      </c>
      <c r="F137" s="22"/>
      <c r="G137" s="18"/>
      <c r="H137" s="18"/>
      <c r="I137" s="14"/>
    </row>
    <row r="138" spans="2:9" ht="16.5" thickBot="1" x14ac:dyDescent="0.3">
      <c r="B138" s="246" t="s">
        <v>60</v>
      </c>
      <c r="C138" s="247"/>
      <c r="D138" s="247"/>
      <c r="E138" s="248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0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1" t="s">
        <v>60</v>
      </c>
      <c r="C140" s="252"/>
      <c r="D140" s="184"/>
      <c r="E140" s="84">
        <f>C139/12</f>
        <v>0</v>
      </c>
      <c r="F140" s="71"/>
      <c r="G140" s="18"/>
      <c r="H140" s="18"/>
      <c r="I140" s="14"/>
    </row>
    <row r="141" spans="2:9" ht="15.75" x14ac:dyDescent="0.25">
      <c r="B141" s="251" t="s">
        <v>61</v>
      </c>
      <c r="C141" s="252"/>
      <c r="D141" s="101">
        <v>0.36799999999999999</v>
      </c>
      <c r="E141" s="84">
        <f>E140*D141</f>
        <v>0</v>
      </c>
      <c r="F141" s="25"/>
      <c r="G141" s="18"/>
      <c r="H141" s="18"/>
      <c r="I141" s="14"/>
    </row>
    <row r="142" spans="2:9" ht="15.75" x14ac:dyDescent="0.25">
      <c r="B142" s="237" t="s">
        <v>58</v>
      </c>
      <c r="C142" s="253"/>
      <c r="D142" s="254">
        <v>0.5</v>
      </c>
      <c r="E142" s="256">
        <f>E122*D142</f>
        <v>0</v>
      </c>
      <c r="F142" s="71"/>
      <c r="G142" s="18"/>
      <c r="H142" s="18"/>
      <c r="I142" s="14"/>
    </row>
    <row r="143" spans="2:9" ht="16.5" thickBot="1" x14ac:dyDescent="0.3">
      <c r="B143" s="257" t="s">
        <v>62</v>
      </c>
      <c r="C143" s="258"/>
      <c r="D143" s="255"/>
      <c r="E143" s="256"/>
      <c r="F143" s="61"/>
      <c r="G143" s="18"/>
      <c r="H143" s="18"/>
      <c r="I143" s="14"/>
    </row>
    <row r="144" spans="2:9" ht="16.5" thickBot="1" x14ac:dyDescent="0.3">
      <c r="B144" s="243" t="s">
        <v>53</v>
      </c>
      <c r="C144" s="244"/>
      <c r="D144" s="245"/>
      <c r="E144" s="102">
        <f>SUM(E140:E143)</f>
        <v>0</v>
      </c>
      <c r="F144" s="182"/>
      <c r="G144" s="229" t="s">
        <v>146</v>
      </c>
      <c r="H144" s="231"/>
      <c r="I144" s="14"/>
    </row>
    <row r="145" spans="1:12" ht="16.5" thickBot="1" x14ac:dyDescent="0.3">
      <c r="A145" s="1"/>
      <c r="B145" s="246" t="s">
        <v>161</v>
      </c>
      <c r="C145" s="247"/>
      <c r="D145" s="247"/>
      <c r="E145" s="248"/>
      <c r="F145" s="182"/>
      <c r="G145" s="183" t="s">
        <v>157</v>
      </c>
      <c r="H145" s="84">
        <f>H104</f>
        <v>0</v>
      </c>
      <c r="I145" s="14"/>
    </row>
    <row r="146" spans="1:12" ht="15.75" x14ac:dyDescent="0.25">
      <c r="A146" s="1"/>
      <c r="B146" s="249" t="s">
        <v>159</v>
      </c>
      <c r="C146" s="250"/>
      <c r="D146" s="96">
        <v>0.05</v>
      </c>
      <c r="E146" s="97">
        <f>-E111*D146</f>
        <v>0</v>
      </c>
      <c r="F146" s="182"/>
      <c r="G146" s="183" t="s">
        <v>84</v>
      </c>
      <c r="H146" s="84">
        <f>E128</f>
        <v>0</v>
      </c>
      <c r="I146" s="14"/>
    </row>
    <row r="147" spans="1:12" ht="16.5" thickBot="1" x14ac:dyDescent="0.3">
      <c r="A147" s="1"/>
      <c r="B147" s="243" t="s">
        <v>53</v>
      </c>
      <c r="C147" s="244"/>
      <c r="D147" s="245"/>
      <c r="E147" s="90">
        <f>E146</f>
        <v>0</v>
      </c>
      <c r="F147" s="182"/>
      <c r="G147" s="183" t="s">
        <v>158</v>
      </c>
      <c r="H147" s="84">
        <f>E148</f>
        <v>0</v>
      </c>
      <c r="I147" s="14"/>
    </row>
    <row r="148" spans="1:12" ht="16.5" thickBot="1" x14ac:dyDescent="0.3">
      <c r="A148" s="1"/>
      <c r="B148" s="227" t="s">
        <v>155</v>
      </c>
      <c r="C148" s="228"/>
      <c r="D148" s="228"/>
      <c r="E148" s="90">
        <f>SUM(E147+E144+E137)</f>
        <v>0</v>
      </c>
      <c r="F148" s="182"/>
      <c r="G148" s="179" t="s">
        <v>156</v>
      </c>
      <c r="H148" s="157">
        <f>SUM(H145:H147)</f>
        <v>0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29" t="s">
        <v>82</v>
      </c>
      <c r="C151" s="230"/>
      <c r="D151" s="230"/>
      <c r="E151" s="230"/>
      <c r="F151" s="230"/>
      <c r="G151" s="230"/>
      <c r="H151" s="230"/>
      <c r="I151" s="231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4" t="s">
        <v>145</v>
      </c>
      <c r="C153" s="235"/>
      <c r="D153" s="235"/>
      <c r="E153" s="236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0</v>
      </c>
      <c r="D155" s="94">
        <v>0.05</v>
      </c>
      <c r="E155" s="84">
        <f>C155*D155</f>
        <v>0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0</v>
      </c>
      <c r="D156" s="94">
        <v>0.1</v>
      </c>
      <c r="E156" s="84">
        <f>C156*D156</f>
        <v>0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37"/>
      <c r="C157" s="238"/>
      <c r="D157" s="238"/>
      <c r="E157" s="84">
        <f>E156+C156</f>
        <v>0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5" t="s">
        <v>67</v>
      </c>
      <c r="C158" s="216"/>
      <c r="D158" s="216"/>
      <c r="E158" s="239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0" t="s">
        <v>160</v>
      </c>
      <c r="C159" s="241"/>
      <c r="D159" s="94">
        <v>0.06</v>
      </c>
      <c r="E159" s="84">
        <f>E163*D159</f>
        <v>0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0" t="s">
        <v>163</v>
      </c>
      <c r="C160" s="242"/>
      <c r="D160" s="101">
        <v>0.1225</v>
      </c>
      <c r="E160" s="84">
        <f>E164*D160</f>
        <v>0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19" t="s">
        <v>165</v>
      </c>
      <c r="C161" s="220"/>
      <c r="D161" s="221"/>
      <c r="E161" s="89">
        <f>E159+E156+E155</f>
        <v>0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2" t="s">
        <v>164</v>
      </c>
      <c r="C162" s="223"/>
      <c r="D162" s="224"/>
      <c r="E162" s="102">
        <f>E160+E155+E156</f>
        <v>0</v>
      </c>
      <c r="F162" s="14"/>
      <c r="I162" s="18"/>
      <c r="J162" s="18"/>
      <c r="K162" s="18"/>
      <c r="L162" s="18"/>
    </row>
    <row r="163" spans="2:12" ht="16.5" thickBot="1" x14ac:dyDescent="0.3">
      <c r="B163" s="225" t="s">
        <v>166</v>
      </c>
      <c r="C163" s="226"/>
      <c r="D163" s="226"/>
      <c r="E163" s="144">
        <f>E157/(1-D159)</f>
        <v>0</v>
      </c>
      <c r="F163" s="14"/>
      <c r="I163" s="22"/>
      <c r="J163" s="22"/>
      <c r="K163" s="22"/>
      <c r="L163" s="22"/>
    </row>
    <row r="164" spans="2:12" ht="16.5" thickBot="1" x14ac:dyDescent="0.3">
      <c r="B164" s="227" t="s">
        <v>167</v>
      </c>
      <c r="C164" s="228"/>
      <c r="D164" s="228"/>
      <c r="E164" s="90">
        <f>E157/(1-D160)</f>
        <v>0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29" t="s">
        <v>68</v>
      </c>
      <c r="C166" s="230"/>
      <c r="D166" s="230"/>
      <c r="E166" s="231"/>
      <c r="F166" s="14"/>
      <c r="I166" s="22"/>
      <c r="J166" s="22"/>
      <c r="K166" s="22"/>
      <c r="L166" s="33"/>
    </row>
    <row r="167" spans="2:12" ht="15.75" x14ac:dyDescent="0.25">
      <c r="B167" s="232" t="s">
        <v>178</v>
      </c>
      <c r="C167" s="233"/>
      <c r="D167" s="233"/>
      <c r="E167" s="88">
        <f>H148*I33</f>
        <v>0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5" t="s">
        <v>69</v>
      </c>
      <c r="C168" s="216"/>
      <c r="D168" s="216"/>
      <c r="E168" s="89">
        <f>G84</f>
        <v>0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5" t="s">
        <v>168</v>
      </c>
      <c r="C169" s="216"/>
      <c r="D169" s="216"/>
      <c r="E169" s="89">
        <f>E161</f>
        <v>0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5" t="s">
        <v>169</v>
      </c>
      <c r="C170" s="216"/>
      <c r="D170" s="216"/>
      <c r="E170" s="89">
        <f>E162</f>
        <v>0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5" t="s">
        <v>170</v>
      </c>
      <c r="C171" s="216"/>
      <c r="D171" s="216"/>
      <c r="E171" s="89">
        <f>SUM(E167:E169)</f>
        <v>0</v>
      </c>
      <c r="F171" s="26"/>
      <c r="G171" s="6"/>
      <c r="H171" s="6"/>
    </row>
    <row r="172" spans="2:12" ht="16.5" thickBot="1" x14ac:dyDescent="0.3">
      <c r="B172" s="217" t="s">
        <v>171</v>
      </c>
      <c r="C172" s="218"/>
      <c r="D172" s="218"/>
      <c r="E172" s="102">
        <f>E167+E168+E170</f>
        <v>0</v>
      </c>
      <c r="F172" s="26"/>
      <c r="G172" s="6"/>
      <c r="H172" s="6"/>
    </row>
    <row r="173" spans="2:12" ht="16.5" thickBot="1" x14ac:dyDescent="0.3">
      <c r="B173" s="209" t="s">
        <v>172</v>
      </c>
      <c r="C173" s="210"/>
      <c r="D173" s="210"/>
      <c r="E173" s="145">
        <f>E171/I12</f>
        <v>0</v>
      </c>
      <c r="F173" s="26"/>
      <c r="G173" s="6"/>
      <c r="H173" s="6"/>
    </row>
    <row r="174" spans="2:12" ht="16.5" thickBot="1" x14ac:dyDescent="0.3">
      <c r="B174" s="209" t="s">
        <v>173</v>
      </c>
      <c r="C174" s="210"/>
      <c r="D174" s="210"/>
      <c r="E174" s="145">
        <f>E172/I12</f>
        <v>0</v>
      </c>
      <c r="F174" s="26"/>
      <c r="G174" s="6"/>
      <c r="H174" s="6"/>
    </row>
    <row r="175" spans="2:12" ht="16.5" thickBot="1" x14ac:dyDescent="0.3">
      <c r="B175" s="211" t="s">
        <v>174</v>
      </c>
      <c r="C175" s="212"/>
      <c r="D175" s="212"/>
      <c r="E175" s="146">
        <f>E171/I9</f>
        <v>0</v>
      </c>
      <c r="F175" s="26"/>
      <c r="G175" s="6"/>
      <c r="H175" s="6"/>
    </row>
    <row r="176" spans="2:12" ht="16.5" thickBot="1" x14ac:dyDescent="0.3">
      <c r="B176" s="213" t="s">
        <v>175</v>
      </c>
      <c r="C176" s="214"/>
      <c r="D176" s="214"/>
      <c r="E176" s="147">
        <f>E172/I9</f>
        <v>0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Trajeto 1</vt:lpstr>
      <vt:lpstr>Trajeto 2</vt:lpstr>
      <vt:lpstr>Trajeto 3</vt:lpstr>
      <vt:lpstr>Trajeto 4</vt:lpstr>
      <vt:lpstr>Trajeto 5</vt:lpstr>
      <vt:lpstr>Trajeto 6</vt:lpstr>
      <vt:lpstr>Trajeto 7</vt:lpstr>
      <vt:lpstr>Trajeto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Panno</dc:creator>
  <cp:lastModifiedBy>SMADM06</cp:lastModifiedBy>
  <cp:lastPrinted>2022-01-12T16:50:22Z</cp:lastPrinted>
  <dcterms:created xsi:type="dcterms:W3CDTF">2021-02-10T19:17:13Z</dcterms:created>
  <dcterms:modified xsi:type="dcterms:W3CDTF">2022-03-03T18:26:41Z</dcterms:modified>
</cp:coreProperties>
</file>