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dministração\2022\Licitações\Pregão Presencial\Pregão Presencial 004-2022\"/>
    </mc:Choice>
  </mc:AlternateContent>
  <bookViews>
    <workbookView xWindow="0" yWindow="0" windowWidth="20490" windowHeight="7755"/>
  </bookViews>
  <sheets>
    <sheet name="Resumo" sheetId="13" r:id="rId1"/>
    <sheet name="Trajeto 1" sheetId="11" r:id="rId2"/>
    <sheet name="Trajeto 2" sheetId="12" r:id="rId3"/>
    <sheet name="Trajeto 3" sheetId="14" r:id="rId4"/>
    <sheet name="Trajeto 4" sheetId="15" r:id="rId5"/>
    <sheet name="Trajeto 5" sheetId="7" r:id="rId6"/>
    <sheet name="Trajeto 6" sheetId="8" r:id="rId7"/>
    <sheet name="Trajeto 7" sheetId="9" r:id="rId8"/>
    <sheet name="Trajeto 8" sheetId="10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7" i="14" l="1"/>
  <c r="E48" i="14"/>
  <c r="E46" i="14"/>
  <c r="E47" i="12"/>
  <c r="E48" i="12"/>
  <c r="E46" i="12"/>
  <c r="E45" i="9"/>
  <c r="E117" i="9"/>
  <c r="E119" i="9"/>
  <c r="E120" i="9"/>
  <c r="E127" i="15"/>
  <c r="E126" i="15"/>
  <c r="E125" i="15"/>
  <c r="H100" i="15"/>
  <c r="H104" i="15" s="1"/>
  <c r="D83" i="15"/>
  <c r="D84" i="15" s="1"/>
  <c r="G83" i="15" s="1"/>
  <c r="E76" i="15"/>
  <c r="G75" i="15"/>
  <c r="F75" i="15"/>
  <c r="F74" i="15"/>
  <c r="G74" i="15" s="1"/>
  <c r="F73" i="15"/>
  <c r="G73" i="15" s="1"/>
  <c r="G71" i="15"/>
  <c r="F71" i="15"/>
  <c r="F65" i="15"/>
  <c r="G65" i="15" s="1"/>
  <c r="F64" i="15"/>
  <c r="G64" i="15" s="1"/>
  <c r="G63" i="15"/>
  <c r="F63" i="15"/>
  <c r="F62" i="15"/>
  <c r="G62" i="15" s="1"/>
  <c r="F61" i="15"/>
  <c r="G61" i="15" s="1"/>
  <c r="F59" i="15"/>
  <c r="G59" i="15" s="1"/>
  <c r="G58" i="15"/>
  <c r="F58" i="15"/>
  <c r="F57" i="15"/>
  <c r="G57" i="15" s="1"/>
  <c r="F56" i="15"/>
  <c r="G56" i="15" s="1"/>
  <c r="F55" i="15"/>
  <c r="G55" i="15" s="1"/>
  <c r="G54" i="15"/>
  <c r="F54" i="15"/>
  <c r="F53" i="15"/>
  <c r="G53" i="15" s="1"/>
  <c r="E45" i="15"/>
  <c r="E77" i="15" s="1"/>
  <c r="D33" i="15"/>
  <c r="B33" i="15"/>
  <c r="B31" i="15"/>
  <c r="D31" i="15" s="1"/>
  <c r="D30" i="15"/>
  <c r="B30" i="15"/>
  <c r="I29" i="15"/>
  <c r="L25" i="15"/>
  <c r="L26" i="15" s="1"/>
  <c r="H25" i="15"/>
  <c r="H24" i="15"/>
  <c r="H23" i="15"/>
  <c r="H22" i="15"/>
  <c r="B32" i="15" s="1"/>
  <c r="D32" i="15" s="1"/>
  <c r="H21" i="15"/>
  <c r="H20" i="15"/>
  <c r="H19" i="15"/>
  <c r="B29" i="15" s="1"/>
  <c r="D29" i="15" s="1"/>
  <c r="I13" i="15"/>
  <c r="I10" i="15"/>
  <c r="I9" i="15"/>
  <c r="B34" i="14"/>
  <c r="D34" i="14" s="1"/>
  <c r="L25" i="14"/>
  <c r="L26" i="14" s="1"/>
  <c r="I9" i="14"/>
  <c r="E127" i="14"/>
  <c r="E126" i="14"/>
  <c r="E125" i="14"/>
  <c r="E110" i="14"/>
  <c r="E109" i="14"/>
  <c r="H104" i="14"/>
  <c r="H100" i="14"/>
  <c r="D83" i="14"/>
  <c r="D84" i="14" s="1"/>
  <c r="G83" i="14" s="1"/>
  <c r="E76" i="14"/>
  <c r="F75" i="14"/>
  <c r="G75" i="14" s="1"/>
  <c r="F74" i="14"/>
  <c r="G74" i="14" s="1"/>
  <c r="F73" i="14"/>
  <c r="G73" i="14" s="1"/>
  <c r="F71" i="14"/>
  <c r="G71" i="14" s="1"/>
  <c r="F65" i="14"/>
  <c r="G65" i="14" s="1"/>
  <c r="F64" i="14"/>
  <c r="G64" i="14" s="1"/>
  <c r="G63" i="14"/>
  <c r="F63" i="14"/>
  <c r="G62" i="14"/>
  <c r="F62" i="14"/>
  <c r="F61" i="14"/>
  <c r="G61" i="14" s="1"/>
  <c r="F59" i="14"/>
  <c r="G59" i="14" s="1"/>
  <c r="G58" i="14"/>
  <c r="F58" i="14"/>
  <c r="G57" i="14"/>
  <c r="F57" i="14"/>
  <c r="F56" i="14"/>
  <c r="F55" i="14"/>
  <c r="G55" i="14" s="1"/>
  <c r="G54" i="14"/>
  <c r="F54" i="14"/>
  <c r="G53" i="14"/>
  <c r="F53" i="14"/>
  <c r="E45" i="14"/>
  <c r="E77" i="14" s="1"/>
  <c r="B33" i="14"/>
  <c r="D33" i="14" s="1"/>
  <c r="I29" i="14"/>
  <c r="H24" i="14"/>
  <c r="H23" i="14"/>
  <c r="H22" i="14"/>
  <c r="B32" i="14" s="1"/>
  <c r="D32" i="14" s="1"/>
  <c r="H21" i="14"/>
  <c r="B31" i="14" s="1"/>
  <c r="D31" i="14" s="1"/>
  <c r="H20" i="14"/>
  <c r="B30" i="14" s="1"/>
  <c r="D30" i="14" s="1"/>
  <c r="H19" i="14"/>
  <c r="B29" i="14" s="1"/>
  <c r="D29" i="14" s="1"/>
  <c r="I13" i="14"/>
  <c r="I10" i="14"/>
  <c r="I9" i="7"/>
  <c r="B34" i="10"/>
  <c r="L20" i="10"/>
  <c r="B34" i="9"/>
  <c r="L20" i="9"/>
  <c r="L18" i="8"/>
  <c r="L25" i="8"/>
  <c r="L25" i="7"/>
  <c r="L20" i="12"/>
  <c r="L25" i="12" s="1"/>
  <c r="L26" i="12" s="1"/>
  <c r="E6" i="13"/>
  <c r="D6" i="13"/>
  <c r="L25" i="11"/>
  <c r="L26" i="11" s="1"/>
  <c r="L29" i="12"/>
  <c r="E127" i="12"/>
  <c r="E126" i="12"/>
  <c r="E125" i="12"/>
  <c r="E110" i="12"/>
  <c r="E109" i="12"/>
  <c r="H104" i="12"/>
  <c r="H100" i="12"/>
  <c r="D83" i="12"/>
  <c r="D84" i="12" s="1"/>
  <c r="G83" i="12" s="1"/>
  <c r="E77" i="12"/>
  <c r="E76" i="12"/>
  <c r="G75" i="12"/>
  <c r="F75" i="12"/>
  <c r="G74" i="12"/>
  <c r="F74" i="12"/>
  <c r="F73" i="12"/>
  <c r="G73" i="12" s="1"/>
  <c r="F71" i="12"/>
  <c r="G71" i="12" s="1"/>
  <c r="F65" i="12"/>
  <c r="G65" i="12" s="1"/>
  <c r="F64" i="12"/>
  <c r="G64" i="12" s="1"/>
  <c r="G63" i="12"/>
  <c r="F63" i="12"/>
  <c r="G62" i="12"/>
  <c r="F62" i="12"/>
  <c r="F61" i="12"/>
  <c r="G61" i="12" s="1"/>
  <c r="F59" i="12"/>
  <c r="G59" i="12" s="1"/>
  <c r="G58" i="12"/>
  <c r="F58" i="12"/>
  <c r="G57" i="12"/>
  <c r="F57" i="12"/>
  <c r="F56" i="12"/>
  <c r="F55" i="12"/>
  <c r="G55" i="12" s="1"/>
  <c r="G54" i="12"/>
  <c r="F54" i="12"/>
  <c r="G53" i="12"/>
  <c r="F53" i="12"/>
  <c r="E45" i="12"/>
  <c r="D34" i="12"/>
  <c r="I29" i="12"/>
  <c r="I28" i="12"/>
  <c r="H24" i="12"/>
  <c r="H23" i="12"/>
  <c r="B33" i="12" s="1"/>
  <c r="D33" i="12" s="1"/>
  <c r="H22" i="12"/>
  <c r="B32" i="12" s="1"/>
  <c r="D32" i="12" s="1"/>
  <c r="H21" i="12"/>
  <c r="B31" i="12" s="1"/>
  <c r="D31" i="12" s="1"/>
  <c r="H20" i="12"/>
  <c r="B30" i="12" s="1"/>
  <c r="D30" i="12" s="1"/>
  <c r="H19" i="12"/>
  <c r="B29" i="12" s="1"/>
  <c r="D29" i="12" s="1"/>
  <c r="I13" i="12"/>
  <c r="I10" i="12"/>
  <c r="E127" i="11"/>
  <c r="E126" i="11"/>
  <c r="E125" i="11"/>
  <c r="E109" i="11"/>
  <c r="E108" i="11"/>
  <c r="H104" i="11"/>
  <c r="H100" i="11"/>
  <c r="D84" i="11"/>
  <c r="G83" i="11"/>
  <c r="D83" i="11"/>
  <c r="E76" i="11"/>
  <c r="F75" i="11"/>
  <c r="G75" i="11" s="1"/>
  <c r="F74" i="11"/>
  <c r="G74" i="11" s="1"/>
  <c r="F73" i="11"/>
  <c r="G73" i="11" s="1"/>
  <c r="G71" i="11"/>
  <c r="F71" i="11"/>
  <c r="F65" i="11"/>
  <c r="G65" i="11" s="1"/>
  <c r="G64" i="11"/>
  <c r="F64" i="11"/>
  <c r="G63" i="11"/>
  <c r="F63" i="11"/>
  <c r="G62" i="11"/>
  <c r="F62" i="11"/>
  <c r="F61" i="11"/>
  <c r="G61" i="11" s="1"/>
  <c r="G59" i="11"/>
  <c r="F59" i="11"/>
  <c r="G58" i="11"/>
  <c r="F58" i="11"/>
  <c r="G57" i="11"/>
  <c r="F57" i="11"/>
  <c r="F56" i="11"/>
  <c r="G56" i="11" s="1"/>
  <c r="G55" i="11"/>
  <c r="F55" i="11"/>
  <c r="G54" i="11"/>
  <c r="F54" i="11"/>
  <c r="G53" i="11"/>
  <c r="F53" i="11"/>
  <c r="E45" i="11"/>
  <c r="E77" i="11" s="1"/>
  <c r="D34" i="11"/>
  <c r="I29" i="11"/>
  <c r="I28" i="11"/>
  <c r="H24" i="11"/>
  <c r="H23" i="11"/>
  <c r="B33" i="11" s="1"/>
  <c r="D33" i="11" s="1"/>
  <c r="H22" i="11"/>
  <c r="B32" i="11" s="1"/>
  <c r="D32" i="11" s="1"/>
  <c r="H21" i="11"/>
  <c r="B31" i="11" s="1"/>
  <c r="D31" i="11" s="1"/>
  <c r="H20" i="11"/>
  <c r="B30" i="11" s="1"/>
  <c r="D30" i="11" s="1"/>
  <c r="H19" i="11"/>
  <c r="B29" i="11" s="1"/>
  <c r="D29" i="11" s="1"/>
  <c r="I13" i="11"/>
  <c r="I10" i="11"/>
  <c r="I9" i="11"/>
  <c r="E108" i="15" l="1"/>
  <c r="E111" i="15" s="1"/>
  <c r="E146" i="15" s="1"/>
  <c r="E147" i="15" s="1"/>
  <c r="E109" i="15"/>
  <c r="H145" i="15"/>
  <c r="C113" i="15"/>
  <c r="E110" i="15"/>
  <c r="G66" i="15"/>
  <c r="G81" i="15" s="1"/>
  <c r="D34" i="15"/>
  <c r="I28" i="15"/>
  <c r="I30" i="15" s="1"/>
  <c r="I28" i="14"/>
  <c r="I30" i="14" s="1"/>
  <c r="I32" i="14" s="1"/>
  <c r="H25" i="14"/>
  <c r="G56" i="14"/>
  <c r="G66" i="14" s="1"/>
  <c r="G81" i="14" s="1"/>
  <c r="C113" i="14"/>
  <c r="H145" i="14"/>
  <c r="E108" i="14"/>
  <c r="E111" i="14" s="1"/>
  <c r="E146" i="14" s="1"/>
  <c r="E147" i="14" s="1"/>
  <c r="I30" i="12"/>
  <c r="I32" i="12" s="1"/>
  <c r="H25" i="12"/>
  <c r="G56" i="12"/>
  <c r="G66" i="12"/>
  <c r="G81" i="12" s="1"/>
  <c r="H145" i="12"/>
  <c r="E108" i="12"/>
  <c r="E111" i="12" s="1"/>
  <c r="I30" i="11"/>
  <c r="I32" i="11" s="1"/>
  <c r="G66" i="11"/>
  <c r="G81" i="11" s="1"/>
  <c r="H25" i="11"/>
  <c r="E110" i="11"/>
  <c r="E111" i="11" s="1"/>
  <c r="H145" i="11"/>
  <c r="E117" i="15" l="1"/>
  <c r="E116" i="15"/>
  <c r="E123" i="15"/>
  <c r="E128" i="15" s="1"/>
  <c r="E115" i="15"/>
  <c r="E122" i="15"/>
  <c r="E114" i="15"/>
  <c r="E121" i="15"/>
  <c r="E120" i="15"/>
  <c r="E119" i="15"/>
  <c r="E118" i="15"/>
  <c r="I32" i="15"/>
  <c r="I33" i="15"/>
  <c r="C76" i="15" s="1"/>
  <c r="I33" i="14"/>
  <c r="C76" i="14" s="1"/>
  <c r="F76" i="14" s="1"/>
  <c r="G76" i="14" s="1"/>
  <c r="E117" i="14"/>
  <c r="E116" i="14"/>
  <c r="E119" i="14"/>
  <c r="E123" i="14"/>
  <c r="E128" i="14" s="1"/>
  <c r="E115" i="14"/>
  <c r="E122" i="14"/>
  <c r="E114" i="14"/>
  <c r="E121" i="14"/>
  <c r="E120" i="14"/>
  <c r="E118" i="14"/>
  <c r="I33" i="12"/>
  <c r="C76" i="12" s="1"/>
  <c r="F76" i="12" s="1"/>
  <c r="G76" i="12" s="1"/>
  <c r="E146" i="12"/>
  <c r="E147" i="12" s="1"/>
  <c r="C113" i="12"/>
  <c r="I33" i="11"/>
  <c r="C76" i="11" s="1"/>
  <c r="C77" i="11" s="1"/>
  <c r="F77" i="11" s="1"/>
  <c r="G77" i="11" s="1"/>
  <c r="E146" i="11"/>
  <c r="E147" i="11" s="1"/>
  <c r="C113" i="11"/>
  <c r="E135" i="15" l="1"/>
  <c r="E142" i="15"/>
  <c r="C77" i="15"/>
  <c r="F77" i="15" s="1"/>
  <c r="G77" i="15" s="1"/>
  <c r="F76" i="15"/>
  <c r="G76" i="15" s="1"/>
  <c r="G78" i="15" s="1"/>
  <c r="G82" i="15" s="1"/>
  <c r="G84" i="15" s="1"/>
  <c r="E168" i="15" s="1"/>
  <c r="H146" i="15"/>
  <c r="C132" i="15"/>
  <c r="E133" i="15" s="1"/>
  <c r="C139" i="15"/>
  <c r="E140" i="15" s="1"/>
  <c r="C77" i="14"/>
  <c r="F77" i="14" s="1"/>
  <c r="G77" i="14" s="1"/>
  <c r="G78" i="14"/>
  <c r="G82" i="14" s="1"/>
  <c r="G84" i="14" s="1"/>
  <c r="E168" i="14" s="1"/>
  <c r="E135" i="14"/>
  <c r="E142" i="14"/>
  <c r="H146" i="14"/>
  <c r="C132" i="14"/>
  <c r="E133" i="14" s="1"/>
  <c r="C139" i="14"/>
  <c r="E140" i="14" s="1"/>
  <c r="C77" i="12"/>
  <c r="F77" i="12" s="1"/>
  <c r="G77" i="12" s="1"/>
  <c r="G78" i="12" s="1"/>
  <c r="G82" i="12" s="1"/>
  <c r="G84" i="12" s="1"/>
  <c r="E168" i="12" s="1"/>
  <c r="E117" i="12"/>
  <c r="E116" i="12"/>
  <c r="E123" i="12"/>
  <c r="E128" i="12" s="1"/>
  <c r="E115" i="12"/>
  <c r="E122" i="12"/>
  <c r="E114" i="12"/>
  <c r="E121" i="12"/>
  <c r="E118" i="12"/>
  <c r="E120" i="12"/>
  <c r="E119" i="12"/>
  <c r="F76" i="11"/>
  <c r="G76" i="11" s="1"/>
  <c r="G78" i="11" s="1"/>
  <c r="G82" i="11" s="1"/>
  <c r="G84" i="11" s="1"/>
  <c r="E168" i="11" s="1"/>
  <c r="E117" i="11"/>
  <c r="E116" i="11"/>
  <c r="E123" i="11"/>
  <c r="E128" i="11" s="1"/>
  <c r="E115" i="11"/>
  <c r="E122" i="11"/>
  <c r="E114" i="11"/>
  <c r="E120" i="11"/>
  <c r="E121" i="11"/>
  <c r="E119" i="11"/>
  <c r="E118" i="11"/>
  <c r="E134" i="15" l="1"/>
  <c r="E137" i="15" s="1"/>
  <c r="E141" i="15"/>
  <c r="E144" i="15" s="1"/>
  <c r="E148" i="15" s="1"/>
  <c r="H147" i="15" s="1"/>
  <c r="H148" i="15" s="1"/>
  <c r="E141" i="14"/>
  <c r="E144" i="14"/>
  <c r="E134" i="14"/>
  <c r="E137" i="14" s="1"/>
  <c r="E135" i="12"/>
  <c r="E142" i="12"/>
  <c r="H146" i="12"/>
  <c r="C139" i="12"/>
  <c r="E140" i="12" s="1"/>
  <c r="C132" i="12"/>
  <c r="E133" i="12" s="1"/>
  <c r="C132" i="11"/>
  <c r="E133" i="11" s="1"/>
  <c r="H146" i="11"/>
  <c r="C139" i="11"/>
  <c r="E140" i="11" s="1"/>
  <c r="E135" i="11"/>
  <c r="E142" i="11"/>
  <c r="E167" i="15" l="1"/>
  <c r="C155" i="15"/>
  <c r="E148" i="14"/>
  <c r="H147" i="14" s="1"/>
  <c r="H148" i="14" s="1"/>
  <c r="E134" i="12"/>
  <c r="E137" i="12" s="1"/>
  <c r="E141" i="12"/>
  <c r="E144" i="12" s="1"/>
  <c r="E148" i="12" s="1"/>
  <c r="H147" i="12" s="1"/>
  <c r="H148" i="12" s="1"/>
  <c r="E141" i="11"/>
  <c r="E144" i="11" s="1"/>
  <c r="E134" i="11"/>
  <c r="E137" i="11" s="1"/>
  <c r="E155" i="15" l="1"/>
  <c r="C156" i="15" s="1"/>
  <c r="E156" i="15" s="1"/>
  <c r="E157" i="15" s="1"/>
  <c r="E167" i="14"/>
  <c r="C155" i="14"/>
  <c r="E167" i="12"/>
  <c r="C155" i="12"/>
  <c r="E148" i="11"/>
  <c r="H147" i="11" s="1"/>
  <c r="H148" i="11" s="1"/>
  <c r="E164" i="15" l="1"/>
  <c r="E160" i="15" s="1"/>
  <c r="E162" i="15" s="1"/>
  <c r="E170" i="15" s="1"/>
  <c r="E172" i="15" s="1"/>
  <c r="E163" i="15"/>
  <c r="E159" i="15" s="1"/>
  <c r="E161" i="15" s="1"/>
  <c r="E169" i="15" s="1"/>
  <c r="E171" i="15" s="1"/>
  <c r="E155" i="14"/>
  <c r="C156" i="14" s="1"/>
  <c r="E156" i="14" s="1"/>
  <c r="E157" i="14" s="1"/>
  <c r="E155" i="12"/>
  <c r="C156" i="12" s="1"/>
  <c r="E156" i="12" s="1"/>
  <c r="E157" i="12" s="1"/>
  <c r="E167" i="11"/>
  <c r="C155" i="11"/>
  <c r="E176" i="15" l="1"/>
  <c r="E174" i="15"/>
  <c r="E9" i="13" s="1"/>
  <c r="E175" i="15"/>
  <c r="E173" i="15"/>
  <c r="D9" i="13" s="1"/>
  <c r="E164" i="14"/>
  <c r="E160" i="14" s="1"/>
  <c r="E162" i="14" s="1"/>
  <c r="E170" i="14" s="1"/>
  <c r="E172" i="14" s="1"/>
  <c r="E163" i="14"/>
  <c r="E159" i="14" s="1"/>
  <c r="E161" i="14" s="1"/>
  <c r="E169" i="14" s="1"/>
  <c r="E171" i="14" s="1"/>
  <c r="E164" i="12"/>
  <c r="E160" i="12" s="1"/>
  <c r="E162" i="12" s="1"/>
  <c r="E170" i="12" s="1"/>
  <c r="E172" i="12" s="1"/>
  <c r="E163" i="12"/>
  <c r="E159" i="12" s="1"/>
  <c r="E161" i="12" s="1"/>
  <c r="E169" i="12" s="1"/>
  <c r="E171" i="12" s="1"/>
  <c r="E155" i="11"/>
  <c r="C156" i="11" s="1"/>
  <c r="E156" i="11" s="1"/>
  <c r="E157" i="11" s="1"/>
  <c r="E175" i="14" l="1"/>
  <c r="E173" i="14"/>
  <c r="D8" i="13" s="1"/>
  <c r="E176" i="14"/>
  <c r="E174" i="14"/>
  <c r="E8" i="13" s="1"/>
  <c r="E176" i="12"/>
  <c r="E174" i="12"/>
  <c r="E7" i="13" s="1"/>
  <c r="E175" i="12"/>
  <c r="E173" i="12"/>
  <c r="D7" i="13" s="1"/>
  <c r="E164" i="11"/>
  <c r="E160" i="11" s="1"/>
  <c r="E162" i="11" s="1"/>
  <c r="E170" i="11" s="1"/>
  <c r="E172" i="11" s="1"/>
  <c r="E163" i="11"/>
  <c r="E159" i="11" s="1"/>
  <c r="E161" i="11" s="1"/>
  <c r="E169" i="11" s="1"/>
  <c r="E171" i="11" s="1"/>
  <c r="E175" i="11" l="1"/>
  <c r="E173" i="11"/>
  <c r="E176" i="11"/>
  <c r="E174" i="11"/>
  <c r="L25" i="10" l="1"/>
  <c r="L26" i="10" s="1"/>
  <c r="E126" i="10"/>
  <c r="E127" i="10" s="1"/>
  <c r="E125" i="10"/>
  <c r="H100" i="10"/>
  <c r="H104" i="10" s="1"/>
  <c r="D84" i="10"/>
  <c r="G83" i="10" s="1"/>
  <c r="D83" i="10"/>
  <c r="E76" i="10"/>
  <c r="F75" i="10"/>
  <c r="G75" i="10" s="1"/>
  <c r="G74" i="10"/>
  <c r="F74" i="10"/>
  <c r="F73" i="10"/>
  <c r="G73" i="10" s="1"/>
  <c r="G71" i="10"/>
  <c r="F71" i="10"/>
  <c r="F65" i="10"/>
  <c r="G65" i="10" s="1"/>
  <c r="F64" i="10"/>
  <c r="G64" i="10" s="1"/>
  <c r="F63" i="10"/>
  <c r="G63" i="10" s="1"/>
  <c r="G62" i="10"/>
  <c r="F62" i="10"/>
  <c r="F61" i="10"/>
  <c r="G61" i="10" s="1"/>
  <c r="F59" i="10"/>
  <c r="G59" i="10" s="1"/>
  <c r="F58" i="10"/>
  <c r="G58" i="10" s="1"/>
  <c r="G57" i="10"/>
  <c r="F57" i="10"/>
  <c r="F56" i="10"/>
  <c r="F55" i="10"/>
  <c r="G55" i="10" s="1"/>
  <c r="F54" i="10"/>
  <c r="G54" i="10" s="1"/>
  <c r="G53" i="10"/>
  <c r="F53" i="10"/>
  <c r="E45" i="10"/>
  <c r="E77" i="10" s="1"/>
  <c r="D34" i="10"/>
  <c r="B31" i="10"/>
  <c r="D31" i="10" s="1"/>
  <c r="I29" i="10"/>
  <c r="I28" i="10"/>
  <c r="H24" i="10"/>
  <c r="H23" i="10"/>
  <c r="B33" i="10" s="1"/>
  <c r="D33" i="10" s="1"/>
  <c r="H22" i="10"/>
  <c r="B32" i="10" s="1"/>
  <c r="D32" i="10" s="1"/>
  <c r="H21" i="10"/>
  <c r="H20" i="10"/>
  <c r="B30" i="10" s="1"/>
  <c r="D30" i="10" s="1"/>
  <c r="H19" i="10"/>
  <c r="B29" i="10" s="1"/>
  <c r="D29" i="10" s="1"/>
  <c r="I13" i="10"/>
  <c r="I10" i="10"/>
  <c r="H145" i="10" l="1"/>
  <c r="E108" i="10"/>
  <c r="E110" i="10"/>
  <c r="E109" i="10"/>
  <c r="I30" i="10"/>
  <c r="I32" i="10" s="1"/>
  <c r="G56" i="10"/>
  <c r="G66" i="10"/>
  <c r="G81" i="10" s="1"/>
  <c r="H25" i="10"/>
  <c r="E111" i="10" l="1"/>
  <c r="I33" i="10"/>
  <c r="C76" i="10" s="1"/>
  <c r="C113" i="10" l="1"/>
  <c r="E146" i="10"/>
  <c r="E147" i="10" s="1"/>
  <c r="C77" i="10"/>
  <c r="F77" i="10" s="1"/>
  <c r="G77" i="10" s="1"/>
  <c r="F76" i="10"/>
  <c r="G76" i="10" s="1"/>
  <c r="G78" i="10" s="1"/>
  <c r="G82" i="10" s="1"/>
  <c r="G84" i="10" s="1"/>
  <c r="E168" i="10" s="1"/>
  <c r="E114" i="10" l="1"/>
  <c r="E115" i="10"/>
  <c r="E118" i="10"/>
  <c r="E120" i="10"/>
  <c r="E119" i="10"/>
  <c r="E123" i="10"/>
  <c r="E128" i="10" s="1"/>
  <c r="E121" i="10"/>
  <c r="E116" i="10"/>
  <c r="E122" i="10"/>
  <c r="E117" i="10"/>
  <c r="C132" i="10" l="1"/>
  <c r="E133" i="10" s="1"/>
  <c r="E134" i="10" s="1"/>
  <c r="C139" i="10"/>
  <c r="E140" i="10" s="1"/>
  <c r="E141" i="10" s="1"/>
  <c r="H146" i="10"/>
  <c r="E135" i="10"/>
  <c r="E142" i="10"/>
  <c r="E144" i="10" l="1"/>
  <c r="E148" i="10" s="1"/>
  <c r="H147" i="10" s="1"/>
  <c r="H148" i="10" s="1"/>
  <c r="E167" i="10" s="1"/>
  <c r="E137" i="10"/>
  <c r="C155" i="10" l="1"/>
  <c r="E155" i="10" s="1"/>
  <c r="C156" i="10" s="1"/>
  <c r="E156" i="10" s="1"/>
  <c r="E157" i="10" s="1"/>
  <c r="E164" i="10" l="1"/>
  <c r="E160" i="10" s="1"/>
  <c r="E162" i="10" s="1"/>
  <c r="E170" i="10" s="1"/>
  <c r="E172" i="10" s="1"/>
  <c r="E163" i="10"/>
  <c r="E159" i="10" s="1"/>
  <c r="E161" i="10" s="1"/>
  <c r="E169" i="10" s="1"/>
  <c r="E171" i="10" s="1"/>
  <c r="E176" i="10" l="1"/>
  <c r="E174" i="10"/>
  <c r="E13" i="13" s="1"/>
  <c r="E175" i="10"/>
  <c r="E173" i="10"/>
  <c r="D13" i="13" s="1"/>
  <c r="H145" i="9" l="1"/>
  <c r="E126" i="9"/>
  <c r="E125" i="9"/>
  <c r="E127" i="9" s="1"/>
  <c r="H104" i="9"/>
  <c r="H100" i="9"/>
  <c r="D83" i="9"/>
  <c r="D84" i="9" s="1"/>
  <c r="G83" i="9" s="1"/>
  <c r="E76" i="9"/>
  <c r="F75" i="9"/>
  <c r="G75" i="9" s="1"/>
  <c r="F74" i="9"/>
  <c r="G74" i="9" s="1"/>
  <c r="F73" i="9"/>
  <c r="G73" i="9" s="1"/>
  <c r="F71" i="9"/>
  <c r="G71" i="9" s="1"/>
  <c r="G65" i="9"/>
  <c r="F65" i="9"/>
  <c r="F64" i="9"/>
  <c r="G64" i="9" s="1"/>
  <c r="F63" i="9"/>
  <c r="G63" i="9" s="1"/>
  <c r="F62" i="9"/>
  <c r="G62" i="9" s="1"/>
  <c r="G61" i="9"/>
  <c r="F61" i="9"/>
  <c r="F59" i="9"/>
  <c r="G59" i="9" s="1"/>
  <c r="F58" i="9"/>
  <c r="G58" i="9" s="1"/>
  <c r="F57" i="9"/>
  <c r="G57" i="9" s="1"/>
  <c r="F56" i="9"/>
  <c r="F55" i="9"/>
  <c r="G55" i="9" s="1"/>
  <c r="F54" i="9"/>
  <c r="G54" i="9" s="1"/>
  <c r="F53" i="9"/>
  <c r="G53" i="9" s="1"/>
  <c r="E77" i="9"/>
  <c r="D34" i="9"/>
  <c r="B32" i="9"/>
  <c r="D32" i="9" s="1"/>
  <c r="I29" i="9"/>
  <c r="I28" i="9"/>
  <c r="L26" i="9"/>
  <c r="H24" i="9"/>
  <c r="H23" i="9"/>
  <c r="B33" i="9" s="1"/>
  <c r="D33" i="9" s="1"/>
  <c r="H22" i="9"/>
  <c r="H21" i="9"/>
  <c r="B31" i="9" s="1"/>
  <c r="D31" i="9" s="1"/>
  <c r="H20" i="9"/>
  <c r="H19" i="9"/>
  <c r="B29" i="9" s="1"/>
  <c r="D29" i="9" s="1"/>
  <c r="I13" i="9"/>
  <c r="G56" i="9" s="1"/>
  <c r="I10" i="9"/>
  <c r="I9" i="9"/>
  <c r="I30" i="9" l="1"/>
  <c r="I32" i="9" s="1"/>
  <c r="H25" i="9"/>
  <c r="G66" i="9"/>
  <c r="G81" i="9" s="1"/>
  <c r="E108" i="9"/>
  <c r="E111" i="9" s="1"/>
  <c r="E146" i="9" s="1"/>
  <c r="E147" i="9" s="1"/>
  <c r="B30" i="9"/>
  <c r="D30" i="9" s="1"/>
  <c r="E109" i="9"/>
  <c r="E110" i="9"/>
  <c r="I33" i="9" l="1"/>
  <c r="C76" i="9" s="1"/>
  <c r="C77" i="9" s="1"/>
  <c r="F77" i="9" s="1"/>
  <c r="G77" i="9" s="1"/>
  <c r="C113" i="9"/>
  <c r="F76" i="9" l="1"/>
  <c r="G76" i="9" s="1"/>
  <c r="G78" i="9" s="1"/>
  <c r="G82" i="9" s="1"/>
  <c r="G84" i="9" s="1"/>
  <c r="E168" i="9" s="1"/>
  <c r="E123" i="9"/>
  <c r="E128" i="9" s="1"/>
  <c r="E115" i="9"/>
  <c r="E121" i="9"/>
  <c r="E116" i="9"/>
  <c r="E122" i="9"/>
  <c r="E118" i="9"/>
  <c r="E114" i="9"/>
  <c r="E135" i="9" l="1"/>
  <c r="E142" i="9"/>
  <c r="H146" i="9"/>
  <c r="C132" i="9"/>
  <c r="E133" i="9" s="1"/>
  <c r="C139" i="9"/>
  <c r="E140" i="9" s="1"/>
  <c r="E141" i="9" l="1"/>
  <c r="E144" i="9" s="1"/>
  <c r="E148" i="9" s="1"/>
  <c r="H147" i="9" s="1"/>
  <c r="H148" i="9" s="1"/>
  <c r="E134" i="9"/>
  <c r="E137" i="9" s="1"/>
  <c r="E167" i="9" l="1"/>
  <c r="C155" i="9"/>
  <c r="E155" i="9" l="1"/>
  <c r="C156" i="9" s="1"/>
  <c r="E156" i="9" s="1"/>
  <c r="E157" i="9" s="1"/>
  <c r="E164" i="9" l="1"/>
  <c r="E160" i="9" s="1"/>
  <c r="E162" i="9" s="1"/>
  <c r="E170" i="9" s="1"/>
  <c r="E172" i="9" s="1"/>
  <c r="E163" i="9"/>
  <c r="E159" i="9" s="1"/>
  <c r="E161" i="9" s="1"/>
  <c r="E169" i="9" s="1"/>
  <c r="E171" i="9" s="1"/>
  <c r="E175" i="9" l="1"/>
  <c r="E173" i="9"/>
  <c r="D12" i="13" s="1"/>
  <c r="E176" i="9"/>
  <c r="E174" i="9"/>
  <c r="E12" i="13" s="1"/>
  <c r="E126" i="8" l="1"/>
  <c r="E127" i="8" s="1"/>
  <c r="E125" i="8"/>
  <c r="E110" i="8"/>
  <c r="E109" i="8"/>
  <c r="E108" i="8"/>
  <c r="E111" i="8" s="1"/>
  <c r="H104" i="8"/>
  <c r="H145" i="8" s="1"/>
  <c r="H100" i="8"/>
  <c r="D83" i="8"/>
  <c r="D84" i="8" s="1"/>
  <c r="G83" i="8" s="1"/>
  <c r="E77" i="8"/>
  <c r="E76" i="8"/>
  <c r="F75" i="8"/>
  <c r="G75" i="8" s="1"/>
  <c r="G74" i="8"/>
  <c r="F74" i="8"/>
  <c r="F73" i="8"/>
  <c r="G73" i="8" s="1"/>
  <c r="G71" i="8"/>
  <c r="F71" i="8"/>
  <c r="F65" i="8"/>
  <c r="G65" i="8" s="1"/>
  <c r="F64" i="8"/>
  <c r="G64" i="8" s="1"/>
  <c r="F63" i="8"/>
  <c r="G63" i="8" s="1"/>
  <c r="G62" i="8"/>
  <c r="F62" i="8"/>
  <c r="F61" i="8"/>
  <c r="G61" i="8" s="1"/>
  <c r="F59" i="8"/>
  <c r="G59" i="8" s="1"/>
  <c r="F58" i="8"/>
  <c r="G58" i="8" s="1"/>
  <c r="G57" i="8"/>
  <c r="F57" i="8"/>
  <c r="F56" i="8"/>
  <c r="G56" i="8" s="1"/>
  <c r="F55" i="8"/>
  <c r="G55" i="8" s="1"/>
  <c r="F54" i="8"/>
  <c r="G54" i="8" s="1"/>
  <c r="G53" i="8"/>
  <c r="F53" i="8"/>
  <c r="E45" i="8"/>
  <c r="D34" i="8"/>
  <c r="B31" i="8"/>
  <c r="D31" i="8" s="1"/>
  <c r="I29" i="8"/>
  <c r="I28" i="8"/>
  <c r="L26" i="8"/>
  <c r="H24" i="8"/>
  <c r="H23" i="8"/>
  <c r="B33" i="8" s="1"/>
  <c r="D33" i="8" s="1"/>
  <c r="H22" i="8"/>
  <c r="B32" i="8" s="1"/>
  <c r="D32" i="8" s="1"/>
  <c r="H21" i="8"/>
  <c r="H20" i="8"/>
  <c r="B30" i="8" s="1"/>
  <c r="D30" i="8" s="1"/>
  <c r="H19" i="8"/>
  <c r="B29" i="8" s="1"/>
  <c r="D29" i="8" s="1"/>
  <c r="I13" i="8"/>
  <c r="I10" i="8"/>
  <c r="I9" i="8"/>
  <c r="I10" i="7"/>
  <c r="D34" i="7"/>
  <c r="L26" i="7"/>
  <c r="I29" i="7"/>
  <c r="I28" i="7"/>
  <c r="D32" i="7"/>
  <c r="D33" i="7"/>
  <c r="B32" i="7"/>
  <c r="B33" i="7"/>
  <c r="H23" i="7"/>
  <c r="H20" i="7"/>
  <c r="B30" i="7" s="1"/>
  <c r="D30" i="7" s="1"/>
  <c r="H21" i="7"/>
  <c r="B31" i="7" s="1"/>
  <c r="D31" i="7" s="1"/>
  <c r="H22" i="7"/>
  <c r="H24" i="7"/>
  <c r="H19" i="7"/>
  <c r="B29" i="7" s="1"/>
  <c r="D29" i="7" s="1"/>
  <c r="H25" i="7" l="1"/>
  <c r="I30" i="8"/>
  <c r="I32" i="8" s="1"/>
  <c r="G66" i="8"/>
  <c r="G81" i="8" s="1"/>
  <c r="E146" i="8"/>
  <c r="E147" i="8" s="1"/>
  <c r="C113" i="8"/>
  <c r="H25" i="8"/>
  <c r="H100" i="7"/>
  <c r="I33" i="8" l="1"/>
  <c r="C76" i="8" s="1"/>
  <c r="E117" i="8"/>
  <c r="E116" i="8"/>
  <c r="E123" i="8"/>
  <c r="E128" i="8" s="1"/>
  <c r="E115" i="8"/>
  <c r="E122" i="8"/>
  <c r="E114" i="8"/>
  <c r="E121" i="8"/>
  <c r="E120" i="8"/>
  <c r="E119" i="8"/>
  <c r="E118" i="8"/>
  <c r="E45" i="7"/>
  <c r="C77" i="8" l="1"/>
  <c r="F77" i="8" s="1"/>
  <c r="G77" i="8" s="1"/>
  <c r="F76" i="8"/>
  <c r="G76" i="8" s="1"/>
  <c r="E135" i="8"/>
  <c r="E142" i="8"/>
  <c r="C139" i="8"/>
  <c r="E140" i="8" s="1"/>
  <c r="H146" i="8"/>
  <c r="C132" i="8"/>
  <c r="E133" i="8" s="1"/>
  <c r="F56" i="7"/>
  <c r="G78" i="8" l="1"/>
  <c r="G82" i="8" s="1"/>
  <c r="G84" i="8" s="1"/>
  <c r="E168" i="8" s="1"/>
  <c r="E137" i="8"/>
  <c r="E134" i="8"/>
  <c r="E141" i="8"/>
  <c r="E144" i="8" s="1"/>
  <c r="E148" i="8" s="1"/>
  <c r="H147" i="8" s="1"/>
  <c r="H148" i="8" s="1"/>
  <c r="F74" i="7"/>
  <c r="G74" i="7" s="1"/>
  <c r="E126" i="7"/>
  <c r="E125" i="7"/>
  <c r="E167" i="8" l="1"/>
  <c r="C155" i="8"/>
  <c r="E127" i="7"/>
  <c r="H104" i="7"/>
  <c r="E155" i="8" l="1"/>
  <c r="C156" i="8" s="1"/>
  <c r="E156" i="8" s="1"/>
  <c r="E157" i="8" s="1"/>
  <c r="E109" i="7"/>
  <c r="H145" i="7"/>
  <c r="E110" i="7"/>
  <c r="E108" i="7"/>
  <c r="F73" i="7"/>
  <c r="G73" i="7" s="1"/>
  <c r="F75" i="7"/>
  <c r="G75" i="7" s="1"/>
  <c r="F71" i="7"/>
  <c r="G71" i="7" s="1"/>
  <c r="I30" i="7"/>
  <c r="I32" i="7" s="1"/>
  <c r="I33" i="7" s="1"/>
  <c r="E77" i="7"/>
  <c r="E76" i="7"/>
  <c r="E164" i="8" l="1"/>
  <c r="E160" i="8" s="1"/>
  <c r="E162" i="8" s="1"/>
  <c r="E170" i="8" s="1"/>
  <c r="E172" i="8" s="1"/>
  <c r="E163" i="8"/>
  <c r="E159" i="8" s="1"/>
  <c r="E161" i="8" s="1"/>
  <c r="E169" i="8" s="1"/>
  <c r="E171" i="8" s="1"/>
  <c r="C76" i="7"/>
  <c r="C77" i="7" s="1"/>
  <c r="F77" i="7" s="1"/>
  <c r="G77" i="7" s="1"/>
  <c r="E111" i="7"/>
  <c r="E146" i="7" s="1"/>
  <c r="E147" i="7" s="1"/>
  <c r="F65" i="7"/>
  <c r="G65" i="7" s="1"/>
  <c r="F59" i="7"/>
  <c r="F54" i="7"/>
  <c r="F55" i="7"/>
  <c r="F57" i="7"/>
  <c r="F58" i="7"/>
  <c r="F61" i="7"/>
  <c r="F62" i="7"/>
  <c r="F63" i="7"/>
  <c r="F64" i="7"/>
  <c r="F53" i="7"/>
  <c r="E175" i="8" l="1"/>
  <c r="E173" i="8"/>
  <c r="D11" i="13" s="1"/>
  <c r="E176" i="8"/>
  <c r="E174" i="8"/>
  <c r="E11" i="13" s="1"/>
  <c r="C113" i="7"/>
  <c r="E119" i="7" s="1"/>
  <c r="F76" i="7"/>
  <c r="G76" i="7" s="1"/>
  <c r="G78" i="7" s="1"/>
  <c r="G82" i="7" s="1"/>
  <c r="D83" i="7"/>
  <c r="D84" i="7" s="1"/>
  <c r="G83" i="7" s="1"/>
  <c r="G64" i="7"/>
  <c r="G63" i="7"/>
  <c r="G57" i="7"/>
  <c r="G58" i="7"/>
  <c r="G59" i="7"/>
  <c r="G62" i="7"/>
  <c r="G55" i="7"/>
  <c r="G53" i="7"/>
  <c r="G61" i="7"/>
  <c r="G54" i="7"/>
  <c r="I13" i="7"/>
  <c r="G56" i="7" s="1"/>
  <c r="E121" i="7" l="1"/>
  <c r="E117" i="7"/>
  <c r="E114" i="7"/>
  <c r="E120" i="7"/>
  <c r="E123" i="7"/>
  <c r="E128" i="7" s="1"/>
  <c r="H146" i="7" s="1"/>
  <c r="E122" i="7"/>
  <c r="E142" i="7" s="1"/>
  <c r="E116" i="7"/>
  <c r="E118" i="7"/>
  <c r="E115" i="7"/>
  <c r="G66" i="7"/>
  <c r="G81" i="7" s="1"/>
  <c r="G84" i="7" s="1"/>
  <c r="E135" i="7" l="1"/>
  <c r="C132" i="7"/>
  <c r="E133" i="7" s="1"/>
  <c r="C139" i="7"/>
  <c r="E140" i="7" s="1"/>
  <c r="E168" i="7"/>
  <c r="E134" i="7"/>
  <c r="E141" i="7"/>
  <c r="E144" i="7" s="1"/>
  <c r="E137" i="7" l="1"/>
  <c r="E148" i="7" s="1"/>
  <c r="H147" i="7" s="1"/>
  <c r="H148" i="7" s="1"/>
  <c r="E167" i="7" l="1"/>
  <c r="C155" i="7"/>
  <c r="E155" i="7" s="1"/>
  <c r="C156" i="7" s="1"/>
  <c r="E156" i="7" s="1"/>
  <c r="E157" i="7" s="1"/>
  <c r="E164" i="7" s="1"/>
  <c r="E160" i="7" s="1"/>
  <c r="E162" i="7" s="1"/>
  <c r="E170" i="7" s="1"/>
  <c r="E172" i="7" l="1"/>
  <c r="E174" i="7" s="1"/>
  <c r="E10" i="13" s="1"/>
  <c r="E163" i="7"/>
  <c r="E159" i="7" s="1"/>
  <c r="E161" i="7" s="1"/>
  <c r="E169" i="7" s="1"/>
  <c r="E171" i="7" s="1"/>
  <c r="E173" i="7" s="1"/>
  <c r="D10" i="13" s="1"/>
  <c r="E176" i="7" l="1"/>
  <c r="E175" i="7"/>
</calcChain>
</file>

<file path=xl/comments1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2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3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4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5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6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7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comments8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family val="2"/>
          </rPr>
          <t>VIRGINIA:</t>
        </r>
        <r>
          <rPr>
            <sz val="9"/>
            <color indexed="81"/>
            <rFont val="Segoe UI"/>
            <family val="2"/>
          </rPr>
          <t xml:space="preserve">
Acredito que aqui seja 33,33:12 = 2,7775</t>
        </r>
      </text>
    </comment>
  </commentList>
</comments>
</file>

<file path=xl/sharedStrings.xml><?xml version="1.0" encoding="utf-8"?>
<sst xmlns="http://schemas.openxmlformats.org/spreadsheetml/2006/main" count="1728" uniqueCount="213">
  <si>
    <t>Objeto:</t>
  </si>
  <si>
    <t>Dias letivos no ano:</t>
  </si>
  <si>
    <t>Média de dias letivos mês:</t>
  </si>
  <si>
    <t>Total de Usuários:</t>
  </si>
  <si>
    <t>Início</t>
  </si>
  <si>
    <t>Término</t>
  </si>
  <si>
    <t>Total (h)</t>
  </si>
  <si>
    <t xml:space="preserve"> </t>
  </si>
  <si>
    <t>Valor residual</t>
  </si>
  <si>
    <t xml:space="preserve">Periodicidade </t>
  </si>
  <si>
    <t>Manutenção</t>
  </si>
  <si>
    <t>Licenciamento</t>
  </si>
  <si>
    <t>DPVAT</t>
  </si>
  <si>
    <t>Consumo por</t>
  </si>
  <si>
    <t>troca</t>
  </si>
  <si>
    <t>Dados dos Recursos Humanos</t>
  </si>
  <si>
    <t>Data-Base</t>
  </si>
  <si>
    <t>Salário base motorista</t>
  </si>
  <si>
    <t>Salário mínimo nacional</t>
  </si>
  <si>
    <t>Intervalo intrajornada</t>
  </si>
  <si>
    <t>Horas noturnas</t>
  </si>
  <si>
    <t>Vales</t>
  </si>
  <si>
    <t>Alimentação</t>
  </si>
  <si>
    <t>Plano de saúde</t>
  </si>
  <si>
    <t>Nº</t>
  </si>
  <si>
    <t>Valor</t>
  </si>
  <si>
    <t>Desconto</t>
  </si>
  <si>
    <t>Horas extras</t>
  </si>
  <si>
    <t>Máximo/dia</t>
  </si>
  <si>
    <t>Percentuais por tipo de desligamento</t>
  </si>
  <si>
    <t>Sem justa causa indenizado</t>
  </si>
  <si>
    <t>Sem justa causa trabalhado</t>
  </si>
  <si>
    <t>Com justa causa</t>
  </si>
  <si>
    <t>Férias</t>
  </si>
  <si>
    <t>Salário-Base</t>
  </si>
  <si>
    <t>Adicional Noturno</t>
  </si>
  <si>
    <t>Adicional de Hora Noturna Reduzida</t>
  </si>
  <si>
    <t>Reflexos do NA no DSR</t>
  </si>
  <si>
    <t>%</t>
  </si>
  <si>
    <t>R$</t>
  </si>
  <si>
    <t>13 º</t>
  </si>
  <si>
    <t>Adicional de Férias</t>
  </si>
  <si>
    <t xml:space="preserve">Total </t>
  </si>
  <si>
    <t>Base de cálculo</t>
  </si>
  <si>
    <t>INSS</t>
  </si>
  <si>
    <t>Salário Educação</t>
  </si>
  <si>
    <t>SAT</t>
  </si>
  <si>
    <t>SESC ou SESI</t>
  </si>
  <si>
    <t>SENAI - SENAC</t>
  </si>
  <si>
    <t>SEBRAE</t>
  </si>
  <si>
    <t>INCRA</t>
  </si>
  <si>
    <t xml:space="preserve">Subtotal </t>
  </si>
  <si>
    <t>FGTS</t>
  </si>
  <si>
    <t>Total</t>
  </si>
  <si>
    <t>Auxílio-Refeição/ Alimentação</t>
  </si>
  <si>
    <t>Assistência Médica e Familiar (Plano de Saúde)</t>
  </si>
  <si>
    <t>Aviso Prévio Indenizado</t>
  </si>
  <si>
    <t>Incidência do FGTS sobre o Aviso Prévio</t>
  </si>
  <si>
    <t xml:space="preserve">Multa do FGTS e contribuição social sobre </t>
  </si>
  <si>
    <t xml:space="preserve">o Aviso Prévio Indenizado </t>
  </si>
  <si>
    <t>Aviso Prévio Trabalhado</t>
  </si>
  <si>
    <t>Incidência dos encargos do submódulo 2.2</t>
  </si>
  <si>
    <t>o aviso</t>
  </si>
  <si>
    <t>Base cálculo</t>
  </si>
  <si>
    <t>Percentual</t>
  </si>
  <si>
    <t xml:space="preserve">Custos indiretos </t>
  </si>
  <si>
    <t>Lucro</t>
  </si>
  <si>
    <t xml:space="preserve">Tributos </t>
  </si>
  <si>
    <t>Custo Final</t>
  </si>
  <si>
    <t>Custo com veículo</t>
  </si>
  <si>
    <t>diesel</t>
  </si>
  <si>
    <t>Quilometragem diária (km):</t>
  </si>
  <si>
    <t>Quilometragem mensal (km):</t>
  </si>
  <si>
    <t>Quilometragem anual (km):</t>
  </si>
  <si>
    <t>Base de cálculo R$</t>
  </si>
  <si>
    <t>Meses de Transporte:</t>
  </si>
  <si>
    <t>TOTAL</t>
  </si>
  <si>
    <t xml:space="preserve">Planilha de Custos por km rodado </t>
  </si>
  <si>
    <t>DADOS DO TRAJETO</t>
  </si>
  <si>
    <t>HORÁRIO</t>
  </si>
  <si>
    <t>DADOS E CUSTOS DO VEÍCULO</t>
  </si>
  <si>
    <t>DADOS E CUSTOS COM MOTORISTA</t>
  </si>
  <si>
    <t>RESUMO SOBRE OS CUSTOS</t>
  </si>
  <si>
    <t>Quadro 1</t>
  </si>
  <si>
    <t>Quadro 2</t>
  </si>
  <si>
    <t>Quadro 3</t>
  </si>
  <si>
    <t xml:space="preserve">Seguro </t>
  </si>
  <si>
    <t>Quadro 2 - Despesas financeiras</t>
  </si>
  <si>
    <t xml:space="preserve">Combustível </t>
  </si>
  <si>
    <t>Vida útil adotada</t>
  </si>
  <si>
    <t>Idade do veículo</t>
  </si>
  <si>
    <t xml:space="preserve">Valor do Veículo </t>
  </si>
  <si>
    <t>Anos para a depreciação total</t>
  </si>
  <si>
    <t>Capacidade mínima</t>
  </si>
  <si>
    <t>10 anos</t>
  </si>
  <si>
    <t>1 ano</t>
  </si>
  <si>
    <t>9 anos</t>
  </si>
  <si>
    <t xml:space="preserve"> Dados sobre o veículo de referência</t>
  </si>
  <si>
    <t>Quadro 1 - Despesas com manutenção</t>
  </si>
  <si>
    <t>Aferição tacógrafo</t>
  </si>
  <si>
    <t>Inspeção veícular</t>
  </si>
  <si>
    <t>Quadro 3 - Despesas com combustível</t>
  </si>
  <si>
    <t>Consumo na cidade (km/L)</t>
  </si>
  <si>
    <t>1 - (ida - manhã)</t>
  </si>
  <si>
    <t>2 - (volta - manhã)</t>
  </si>
  <si>
    <t xml:space="preserve">produto anticor./anticong. </t>
  </si>
  <si>
    <t xml:space="preserve">Valor </t>
  </si>
  <si>
    <t>da troca (km)</t>
  </si>
  <si>
    <t>óleo motor (L)</t>
  </si>
  <si>
    <t>Filtro de combustível (UN)</t>
  </si>
  <si>
    <t>Filtro do ar (UN)</t>
  </si>
  <si>
    <t>Fluído de freios (L)</t>
  </si>
  <si>
    <t>Sist. Arrefecimento (L)</t>
  </si>
  <si>
    <t>óleo de trasmissão (L)</t>
  </si>
  <si>
    <t>filtro de óleo (UN)</t>
  </si>
  <si>
    <t>unitário (R$)</t>
  </si>
  <si>
    <t xml:space="preserve">Valor total </t>
  </si>
  <si>
    <t>por troca (R$)</t>
  </si>
  <si>
    <t>Valor  mensal</t>
  </si>
  <si>
    <t>(R$)</t>
  </si>
  <si>
    <t xml:space="preserve">Disco tacógrafo </t>
  </si>
  <si>
    <t>cada 7 dias (3 un. mês)</t>
  </si>
  <si>
    <t>Depreciação por ano (sobre o valor atual)</t>
  </si>
  <si>
    <t>TOTAL MENSAL</t>
  </si>
  <si>
    <t>Quantidade de litros (mês)</t>
  </si>
  <si>
    <t>óleo hidráulico (L)</t>
  </si>
  <si>
    <t xml:space="preserve"> Resumo  despesas com veículo</t>
  </si>
  <si>
    <t xml:space="preserve">Item </t>
  </si>
  <si>
    <t>Cota</t>
  </si>
  <si>
    <t>Valor mensal</t>
  </si>
  <si>
    <t>anual</t>
  </si>
  <si>
    <t>Valor anual</t>
  </si>
  <si>
    <t>Depreciação anual</t>
  </si>
  <si>
    <t>Taxa de uso efetivo</t>
  </si>
  <si>
    <t>TOTAL ACUMULADO EFETIVO</t>
  </si>
  <si>
    <t>Disponível (dia)</t>
  </si>
  <si>
    <t>Percurso diário</t>
  </si>
  <si>
    <t>Máx. de horas mensais permitidas (h)</t>
  </si>
  <si>
    <t>Percurso efetivo (dia)</t>
  </si>
  <si>
    <t>Acumulado (dia)</t>
  </si>
  <si>
    <t xml:space="preserve"> Horas mensais efetivo (h)</t>
  </si>
  <si>
    <t>horas mensais disponível (h)</t>
  </si>
  <si>
    <t>Total (Efetivo + Disponível) - (h)</t>
  </si>
  <si>
    <t>Descanso remunerado (25% do total)</t>
  </si>
  <si>
    <t>Horas de percurso efetivo e disponível</t>
  </si>
  <si>
    <t>Remun. Cap. ( selic. 2,0%)</t>
  </si>
  <si>
    <t>Taxa de uso</t>
  </si>
  <si>
    <t>efetivo</t>
  </si>
  <si>
    <t>BDI - Custos indiretos, lucro e tributos lucro real</t>
  </si>
  <si>
    <t>Resumo de despesas com motorista</t>
  </si>
  <si>
    <t xml:space="preserve">Quadro 1 - Composição da Remuneração </t>
  </si>
  <si>
    <t>Quadro 2 - Encargos e Benefícios Anuais, Mensais e Diários</t>
  </si>
  <si>
    <t>Quadro 3 - Provisão para Rescisão</t>
  </si>
  <si>
    <t xml:space="preserve">13º Salário e Adicional de Férias </t>
  </si>
  <si>
    <t>Encargos Previdenciários, (FGTS) e outras contribuições</t>
  </si>
  <si>
    <t>Benefícios Mensais e Diários</t>
  </si>
  <si>
    <t>TOTAL MENSAL QUADRO 1</t>
  </si>
  <si>
    <t>TOTAL MENSAL QUADRO 2</t>
  </si>
  <si>
    <t>TOTAL MENSAL QUADRO 3</t>
  </si>
  <si>
    <t>TOTAL (MÊS)</t>
  </si>
  <si>
    <t xml:space="preserve">Quadro 1 </t>
  </si>
  <si>
    <t xml:space="preserve">Quadro 3 </t>
  </si>
  <si>
    <t xml:space="preserve">Desconto sobre 13º Salário e adicional de Férias </t>
  </si>
  <si>
    <t>Simples</t>
  </si>
  <si>
    <t>Demissão por Justa Causa</t>
  </si>
  <si>
    <t>óleo diferencial traseiro</t>
  </si>
  <si>
    <t>Lucro Real</t>
  </si>
  <si>
    <t>Total de tributos para Lucro Real</t>
  </si>
  <si>
    <t>Total de tributos para Simples</t>
  </si>
  <si>
    <t>TOTAL  PARA SIMPLES</t>
  </si>
  <si>
    <t>TOTAL  PARA LUCRO REAL</t>
  </si>
  <si>
    <t>BDI (SIMPLES)</t>
  </si>
  <si>
    <t>BDI (LUCRO REAL)</t>
  </si>
  <si>
    <t>Custo mensal (SIMPLES)</t>
  </si>
  <si>
    <t>Custo mensal (LUCRO REAL)</t>
  </si>
  <si>
    <t>Custo por Km (SIMPLES)</t>
  </si>
  <si>
    <t>Custo por Km (LUCRO REAL)</t>
  </si>
  <si>
    <t>Custo mensal por aluno (SIMPLES)</t>
  </si>
  <si>
    <t>Custo mensal por aluno (LUCRO REAL)</t>
  </si>
  <si>
    <t xml:space="preserve">Pneus (UN) </t>
  </si>
  <si>
    <t>Ano  Modelo</t>
  </si>
  <si>
    <t>Custo com motorista  (considerando a taxa de uso efetivo)</t>
  </si>
  <si>
    <t>TRAJETO 5</t>
  </si>
  <si>
    <t>Trajeto 5</t>
  </si>
  <si>
    <t xml:space="preserve">Preço p/ litro de combustível </t>
  </si>
  <si>
    <t>2021/2022</t>
  </si>
  <si>
    <t>CCT-SINDITRANS</t>
  </si>
  <si>
    <t>3 - (ida - tarde)</t>
  </si>
  <si>
    <t>4 - (volta - tarde)</t>
  </si>
  <si>
    <t>5 - (ida - noite)</t>
  </si>
  <si>
    <t>6 - (volta - noite)</t>
  </si>
  <si>
    <t>4 - (volta - noite)</t>
  </si>
  <si>
    <t>1 - (ida - tarde)</t>
  </si>
  <si>
    <t>2 - (volta - noite)</t>
  </si>
  <si>
    <t>Média preços veiculo de 28 lugares</t>
  </si>
  <si>
    <t>Média preços veiculo de 15 lugares</t>
  </si>
  <si>
    <t>2 - (ida - tarde)</t>
  </si>
  <si>
    <t>3 - (volta - noite)</t>
  </si>
  <si>
    <t>Linha 1</t>
  </si>
  <si>
    <t>Linha 2</t>
  </si>
  <si>
    <t>Linha 3</t>
  </si>
  <si>
    <t>Linha 4</t>
  </si>
  <si>
    <t>Linha 5</t>
  </si>
  <si>
    <t>Linha 6</t>
  </si>
  <si>
    <t>Linha 7</t>
  </si>
  <si>
    <t>Linha 8</t>
  </si>
  <si>
    <t>Lucro Presumido</t>
  </si>
  <si>
    <t>Simples Nacional</t>
  </si>
  <si>
    <t>TRAJETO 1</t>
  </si>
  <si>
    <t>TRAJETO 2</t>
  </si>
  <si>
    <t>TRAJETO 8</t>
  </si>
  <si>
    <t>TRAJETO 7</t>
  </si>
  <si>
    <t>TRAJETO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</si>
</sst>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0"/>
      <color rgb="FF4D4D5B"/>
      <name val="Century Gothic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33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/>
    <xf numFmtId="0" fontId="6" fillId="2" borderId="16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6" fillId="2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3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/>
    <xf numFmtId="2" fontId="0" fillId="0" borderId="0" xfId="0" applyNumberFormat="1" applyFill="1" applyBorder="1" applyAlignment="1">
      <alignment horizontal="center"/>
    </xf>
    <xf numFmtId="9" fontId="0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10" fontId="1" fillId="0" borderId="0" xfId="0" applyNumberFormat="1" applyFont="1" applyFill="1" applyBorder="1" applyAlignment="1">
      <alignment horizontal="right"/>
    </xf>
    <xf numFmtId="10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/>
    <xf numFmtId="8" fontId="0" fillId="0" borderId="0" xfId="0" applyNumberFormat="1" applyFill="1" applyBorder="1"/>
    <xf numFmtId="2" fontId="1" fillId="0" borderId="0" xfId="0" applyNumberFormat="1" applyFont="1" applyFill="1" applyBorder="1"/>
    <xf numFmtId="9" fontId="0" fillId="0" borderId="0" xfId="0" applyNumberFormat="1" applyFill="1" applyBorder="1"/>
    <xf numFmtId="9" fontId="0" fillId="0" borderId="0" xfId="0" applyNumberFormat="1" applyFill="1" applyBorder="1" applyAlignment="1"/>
    <xf numFmtId="2" fontId="0" fillId="0" borderId="0" xfId="0" applyNumberFormat="1" applyFill="1" applyBorder="1" applyAlignment="1"/>
    <xf numFmtId="2" fontId="1" fillId="0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20" fontId="7" fillId="0" borderId="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8" fontId="7" fillId="0" borderId="0" xfId="0" applyNumberFormat="1" applyFont="1" applyFill="1" applyBorder="1" applyAlignment="1"/>
    <xf numFmtId="0" fontId="6" fillId="0" borderId="0" xfId="0" applyFont="1" applyBorder="1" applyAlignment="1">
      <alignment horizontal="right"/>
    </xf>
    <xf numFmtId="2" fontId="7" fillId="0" borderId="0" xfId="0" applyNumberFormat="1" applyFont="1" applyBorder="1"/>
    <xf numFmtId="164" fontId="6" fillId="0" borderId="0" xfId="0" applyNumberFormat="1" applyFont="1" applyBorder="1" applyAlignment="1">
      <alignment horizontal="center"/>
    </xf>
    <xf numFmtId="0" fontId="0" fillId="0" borderId="43" xfId="0" applyBorder="1"/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17" xfId="0" applyNumberFormat="1" applyFont="1" applyFill="1" applyBorder="1" applyAlignment="1">
      <alignment horizontal="center"/>
    </xf>
    <xf numFmtId="0" fontId="7" fillId="0" borderId="16" xfId="0" applyFont="1" applyFill="1" applyBorder="1"/>
    <xf numFmtId="3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4" fontId="6" fillId="0" borderId="23" xfId="0" applyNumberFormat="1" applyFont="1" applyFill="1" applyBorder="1" applyAlignment="1">
      <alignment horizontal="center"/>
    </xf>
    <xf numFmtId="164" fontId="6" fillId="0" borderId="17" xfId="0" applyNumberFormat="1" applyFont="1" applyFill="1" applyBorder="1" applyAlignment="1">
      <alignment horizontal="center"/>
    </xf>
    <xf numFmtId="164" fontId="6" fillId="0" borderId="20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9" fontId="7" fillId="0" borderId="22" xfId="0" applyNumberFormat="1" applyFont="1" applyFill="1" applyBorder="1" applyAlignment="1">
      <alignment horizontal="center"/>
    </xf>
    <xf numFmtId="164" fontId="7" fillId="0" borderId="22" xfId="0" applyNumberFormat="1" applyFont="1" applyFill="1" applyBorder="1" applyAlignment="1">
      <alignment horizontal="center"/>
    </xf>
    <xf numFmtId="2" fontId="7" fillId="0" borderId="13" xfId="0" applyNumberFormat="1" applyFont="1" applyFill="1" applyBorder="1" applyAlignment="1">
      <alignment horizontal="center"/>
    </xf>
    <xf numFmtId="164" fontId="7" fillId="0" borderId="14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0" fontId="7" fillId="0" borderId="1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2" fontId="7" fillId="0" borderId="22" xfId="0" applyNumberFormat="1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10" fontId="6" fillId="0" borderId="1" xfId="0" applyNumberFormat="1" applyFont="1" applyFill="1" applyBorder="1" applyAlignment="1">
      <alignment horizontal="center"/>
    </xf>
    <xf numFmtId="10" fontId="6" fillId="0" borderId="19" xfId="0" applyNumberFormat="1" applyFont="1" applyFill="1" applyBorder="1" applyAlignment="1">
      <alignment horizontal="center"/>
    </xf>
    <xf numFmtId="10" fontId="7" fillId="0" borderId="22" xfId="0" applyNumberFormat="1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9" fontId="7" fillId="0" borderId="19" xfId="0" applyNumberFormat="1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8" fontId="7" fillId="0" borderId="1" xfId="0" applyNumberFormat="1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20" fontId="7" fillId="0" borderId="27" xfId="0" applyNumberFormat="1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/>
    </xf>
    <xf numFmtId="164" fontId="7" fillId="0" borderId="39" xfId="0" applyNumberFormat="1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164" fontId="7" fillId="0" borderId="49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>
      <alignment horizontal="center" vertical="center"/>
    </xf>
    <xf numFmtId="9" fontId="7" fillId="0" borderId="49" xfId="0" applyNumberFormat="1" applyFont="1" applyFill="1" applyBorder="1" applyAlignment="1">
      <alignment horizontal="center"/>
    </xf>
    <xf numFmtId="8" fontId="7" fillId="0" borderId="49" xfId="0" applyNumberFormat="1" applyFont="1" applyFill="1" applyBorder="1" applyAlignment="1">
      <alignment horizontal="center"/>
    </xf>
    <xf numFmtId="8" fontId="7" fillId="0" borderId="17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164" fontId="7" fillId="0" borderId="15" xfId="0" applyNumberFormat="1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left"/>
    </xf>
    <xf numFmtId="0" fontId="7" fillId="0" borderId="35" xfId="0" applyFont="1" applyFill="1" applyBorder="1"/>
    <xf numFmtId="0" fontId="7" fillId="0" borderId="21" xfId="0" applyFont="1" applyFill="1" applyBorder="1"/>
    <xf numFmtId="20" fontId="7" fillId="0" borderId="16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164" fontId="6" fillId="4" borderId="12" xfId="0" applyNumberFormat="1" applyFont="1" applyFill="1" applyBorder="1" applyAlignment="1">
      <alignment horizontal="center"/>
    </xf>
    <xf numFmtId="164" fontId="6" fillId="4" borderId="58" xfId="0" applyNumberFormat="1" applyFont="1" applyFill="1" applyBorder="1" applyAlignment="1">
      <alignment horizontal="center"/>
    </xf>
    <xf numFmtId="164" fontId="6" fillId="4" borderId="2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9" fontId="7" fillId="0" borderId="0" xfId="0" applyNumberFormat="1" applyFont="1" applyFill="1" applyBorder="1" applyAlignment="1">
      <alignment horizontal="center"/>
    </xf>
    <xf numFmtId="0" fontId="11" fillId="0" borderId="0" xfId="0" applyFont="1"/>
    <xf numFmtId="164" fontId="7" fillId="5" borderId="1" xfId="0" applyNumberFormat="1" applyFont="1" applyFill="1" applyBorder="1" applyAlignment="1">
      <alignment horizontal="center"/>
    </xf>
    <xf numFmtId="0" fontId="7" fillId="5" borderId="16" xfId="0" applyFont="1" applyFill="1" applyBorder="1" applyAlignment="1"/>
    <xf numFmtId="0" fontId="7" fillId="5" borderId="1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164" fontId="6" fillId="5" borderId="20" xfId="0" applyNumberFormat="1" applyFont="1" applyFill="1" applyBorder="1" applyAlignment="1">
      <alignment horizontal="center"/>
    </xf>
    <xf numFmtId="8" fontId="7" fillId="5" borderId="17" xfId="0" applyNumberFormat="1" applyFont="1" applyFill="1" applyBorder="1" applyAlignment="1">
      <alignment horizontal="center"/>
    </xf>
    <xf numFmtId="9" fontId="7" fillId="5" borderId="17" xfId="0" applyNumberFormat="1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2" fontId="7" fillId="5" borderId="15" xfId="0" applyNumberFormat="1" applyFont="1" applyFill="1" applyBorder="1" applyAlignment="1">
      <alignment horizontal="center"/>
    </xf>
    <xf numFmtId="2" fontId="7" fillId="5" borderId="17" xfId="0" applyNumberFormat="1" applyFont="1" applyFill="1" applyBorder="1" applyAlignment="1">
      <alignment horizontal="center"/>
    </xf>
    <xf numFmtId="10" fontId="6" fillId="5" borderId="20" xfId="0" applyNumberFormat="1" applyFont="1" applyFill="1" applyBorder="1" applyAlignment="1">
      <alignment horizontal="center"/>
    </xf>
    <xf numFmtId="20" fontId="7" fillId="5" borderId="21" xfId="0" applyNumberFormat="1" applyFont="1" applyFill="1" applyBorder="1" applyAlignment="1">
      <alignment horizontal="center"/>
    </xf>
    <xf numFmtId="8" fontId="7" fillId="5" borderId="1" xfId="0" applyNumberFormat="1" applyFont="1" applyFill="1" applyBorder="1" applyAlignment="1">
      <alignment horizontal="center"/>
    </xf>
    <xf numFmtId="2" fontId="7" fillId="5" borderId="22" xfId="0" applyNumberFormat="1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9" fontId="7" fillId="5" borderId="15" xfId="0" applyNumberFormat="1" applyFont="1" applyFill="1" applyBorder="1" applyAlignment="1">
      <alignment horizontal="center"/>
    </xf>
    <xf numFmtId="9" fontId="6" fillId="5" borderId="20" xfId="0" applyNumberFormat="1" applyFont="1" applyFill="1" applyBorder="1" applyAlignment="1">
      <alignment horizontal="center"/>
    </xf>
    <xf numFmtId="164" fontId="7" fillId="5" borderId="17" xfId="0" applyNumberFormat="1" applyFont="1" applyFill="1" applyBorder="1" applyAlignment="1">
      <alignment horizontal="center"/>
    </xf>
    <xf numFmtId="164" fontId="7" fillId="5" borderId="23" xfId="0" applyNumberFormat="1" applyFont="1" applyFill="1" applyBorder="1" applyAlignment="1">
      <alignment horizontal="center"/>
    </xf>
    <xf numFmtId="164" fontId="7" fillId="5" borderId="14" xfId="0" applyNumberFormat="1" applyFont="1" applyFill="1" applyBorder="1" applyAlignment="1">
      <alignment horizontal="center"/>
    </xf>
    <xf numFmtId="164" fontId="7" fillId="5" borderId="22" xfId="0" applyNumberFormat="1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43" fontId="6" fillId="5" borderId="18" xfId="1" applyFont="1" applyFill="1" applyBorder="1" applyAlignment="1">
      <alignment horizontal="center"/>
    </xf>
    <xf numFmtId="43" fontId="6" fillId="0" borderId="19" xfId="1" applyFont="1" applyFill="1" applyBorder="1" applyAlignment="1">
      <alignment horizontal="center"/>
    </xf>
    <xf numFmtId="43" fontId="6" fillId="0" borderId="20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2" applyFont="1" applyAlignment="1">
      <alignment horizontal="center" vertical="center"/>
    </xf>
    <xf numFmtId="10" fontId="7" fillId="5" borderId="17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56" xfId="0" applyFont="1" applyFill="1" applyBorder="1" applyAlignment="1">
      <alignment horizontal="center"/>
    </xf>
    <xf numFmtId="0" fontId="6" fillId="2" borderId="5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47" xfId="0" applyFont="1" applyFill="1" applyBorder="1" applyAlignment="1">
      <alignment horizontal="right"/>
    </xf>
    <xf numFmtId="0" fontId="6" fillId="0" borderId="41" xfId="0" applyFont="1" applyFill="1" applyBorder="1" applyAlignment="1">
      <alignment horizontal="right"/>
    </xf>
    <xf numFmtId="0" fontId="6" fillId="0" borderId="38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right"/>
    </xf>
    <xf numFmtId="0" fontId="6" fillId="0" borderId="46" xfId="0" applyFont="1" applyFill="1" applyBorder="1" applyAlignment="1">
      <alignment horizontal="right"/>
    </xf>
    <xf numFmtId="0" fontId="6" fillId="0" borderId="31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7" fillId="0" borderId="4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9" fontId="7" fillId="0" borderId="37" xfId="0" applyNumberFormat="1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164" fontId="7" fillId="0" borderId="36" xfId="0" applyNumberFormat="1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18" xfId="0" applyFont="1" applyFill="1" applyBorder="1" applyAlignment="1">
      <alignment horizontal="right"/>
    </xf>
    <xf numFmtId="0" fontId="6" fillId="0" borderId="19" xfId="0" applyFont="1" applyFill="1" applyBorder="1" applyAlignment="1">
      <alignment horizontal="right"/>
    </xf>
    <xf numFmtId="0" fontId="6" fillId="0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7" fillId="0" borderId="55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16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0" borderId="50" xfId="0" applyFont="1" applyFill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3" fontId="7" fillId="0" borderId="3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45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22" xfId="0" applyNumberFormat="1" applyFont="1" applyFill="1" applyBorder="1" applyAlignment="1">
      <alignment horizontal="center"/>
    </xf>
    <xf numFmtId="20" fontId="7" fillId="0" borderId="23" xfId="0" applyNumberFormat="1" applyFont="1" applyFill="1" applyBorder="1" applyAlignment="1">
      <alignment horizontal="center"/>
    </xf>
    <xf numFmtId="20" fontId="6" fillId="0" borderId="19" xfId="0" applyNumberFormat="1" applyFont="1" applyFill="1" applyBorder="1" applyAlignment="1">
      <alignment horizontal="center"/>
    </xf>
    <xf numFmtId="20" fontId="6" fillId="0" borderId="20" xfId="0" applyNumberFormat="1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20" fontId="7" fillId="0" borderId="49" xfId="0" applyNumberFormat="1" applyFont="1" applyFill="1" applyBorder="1" applyAlignment="1">
      <alignment horizontal="center"/>
    </xf>
    <xf numFmtId="20" fontId="7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3"/>
  <sheetViews>
    <sheetView tabSelected="1" workbookViewId="0">
      <selection activeCell="B6" sqref="B6:B13"/>
    </sheetView>
  </sheetViews>
  <sheetFormatPr defaultRowHeight="15" x14ac:dyDescent="0.25"/>
  <cols>
    <col min="4" max="5" width="10.7109375" customWidth="1"/>
  </cols>
  <sheetData>
    <row r="5" spans="3:5" s="208" customFormat="1" ht="45" x14ac:dyDescent="0.25">
      <c r="C5" s="209"/>
      <c r="D5" s="209" t="s">
        <v>207</v>
      </c>
      <c r="E5" s="209" t="s">
        <v>206</v>
      </c>
    </row>
    <row r="6" spans="3:5" x14ac:dyDescent="0.25">
      <c r="C6" s="210" t="s">
        <v>198</v>
      </c>
      <c r="D6" s="211">
        <f>'Trajeto 1'!E173</f>
        <v>6.4924671548541353</v>
      </c>
      <c r="E6" s="211">
        <f>'Trajeto 1'!E174</f>
        <v>7.0906241153130765</v>
      </c>
    </row>
    <row r="7" spans="3:5" x14ac:dyDescent="0.25">
      <c r="C7" s="210" t="s">
        <v>199</v>
      </c>
      <c r="D7" s="211">
        <f>'Trajeto 2'!E173</f>
        <v>5.4894639523656767</v>
      </c>
      <c r="E7" s="211">
        <f>'Trajeto 2'!E174</f>
        <v>5.9104485553085402</v>
      </c>
    </row>
    <row r="8" spans="3:5" x14ac:dyDescent="0.25">
      <c r="C8" s="210" t="s">
        <v>200</v>
      </c>
      <c r="D8" s="211">
        <f>'Trajeto 3'!E173</f>
        <v>7.1663898842181908</v>
      </c>
      <c r="E8" s="211">
        <f>'Trajeto 3'!E174</f>
        <v>7.7643403509117448</v>
      </c>
    </row>
    <row r="9" spans="3:5" x14ac:dyDescent="0.25">
      <c r="C9" s="210" t="s">
        <v>201</v>
      </c>
      <c r="D9" s="211">
        <f>'Trajeto 4'!E173</f>
        <v>4.9144309397135491</v>
      </c>
      <c r="E9" s="211">
        <f>'Trajeto 4'!E174</f>
        <v>5.3275359822393495</v>
      </c>
    </row>
    <row r="10" spans="3:5" x14ac:dyDescent="0.25">
      <c r="C10" s="210" t="s">
        <v>202</v>
      </c>
      <c r="D10" s="211">
        <f>'Trajeto 5'!E173</f>
        <v>5.4104682566545357</v>
      </c>
      <c r="E10" s="211">
        <f>'Trajeto 5'!E174</f>
        <v>5.88463582421375</v>
      </c>
    </row>
    <row r="11" spans="3:5" x14ac:dyDescent="0.25">
      <c r="C11" s="210" t="s">
        <v>203</v>
      </c>
      <c r="D11" s="211">
        <f>'Trajeto 6'!E173</f>
        <v>6.1923627094798208</v>
      </c>
      <c r="E11" s="211">
        <f>'Trajeto 6'!E174</f>
        <v>6.7876715421799378</v>
      </c>
    </row>
    <row r="12" spans="3:5" x14ac:dyDescent="0.25">
      <c r="C12" s="210" t="s">
        <v>204</v>
      </c>
      <c r="D12" s="211">
        <f>'Trajeto 7'!E173</f>
        <v>5.6849379714595871</v>
      </c>
      <c r="E12" s="211">
        <f>'Trajeto 7'!E174</f>
        <v>6.18073914662659</v>
      </c>
    </row>
    <row r="13" spans="3:5" x14ac:dyDescent="0.25">
      <c r="C13" s="210" t="s">
        <v>205</v>
      </c>
      <c r="D13" s="211">
        <f>'Trajeto 8'!E173</f>
        <v>5.8786261953808738</v>
      </c>
      <c r="E13" s="211">
        <f>'Trajeto 8'!E174</f>
        <v>6.4329578519965667</v>
      </c>
    </row>
  </sheetData>
  <phoneticPr fontId="13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121" zoomScale="120" zoomScaleNormal="120" workbookViewId="0">
      <selection activeCell="E45" sqref="E45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208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8" t="s">
        <v>0</v>
      </c>
      <c r="C9" s="319"/>
      <c r="D9" s="198" t="s">
        <v>183</v>
      </c>
      <c r="F9" s="318" t="s">
        <v>3</v>
      </c>
      <c r="G9" s="319"/>
      <c r="H9" s="319"/>
      <c r="I9" s="143">
        <f>28*3</f>
        <v>84</v>
      </c>
    </row>
    <row r="10" spans="1:9" ht="15.75" x14ac:dyDescent="0.25">
      <c r="B10" s="320" t="s">
        <v>1</v>
      </c>
      <c r="C10" s="321"/>
      <c r="D10" s="187">
        <v>204</v>
      </c>
      <c r="F10" s="320" t="s">
        <v>71</v>
      </c>
      <c r="G10" s="321"/>
      <c r="H10" s="321"/>
      <c r="I10" s="175">
        <f>I12/I11</f>
        <v>68.054090909090917</v>
      </c>
    </row>
    <row r="11" spans="1:9" ht="15.75" x14ac:dyDescent="0.25">
      <c r="B11" s="320" t="s">
        <v>75</v>
      </c>
      <c r="C11" s="321"/>
      <c r="D11" s="187">
        <v>10</v>
      </c>
      <c r="F11" s="320" t="s">
        <v>2</v>
      </c>
      <c r="G11" s="321"/>
      <c r="H11" s="321"/>
      <c r="I11" s="187">
        <v>22</v>
      </c>
    </row>
    <row r="12" spans="1:9" ht="15.75" x14ac:dyDescent="0.25">
      <c r="B12" s="320" t="s">
        <v>2</v>
      </c>
      <c r="C12" s="321"/>
      <c r="D12" s="187">
        <v>22</v>
      </c>
      <c r="F12" s="320" t="s">
        <v>72</v>
      </c>
      <c r="G12" s="321"/>
      <c r="H12" s="321"/>
      <c r="I12" s="187">
        <v>1497.19</v>
      </c>
    </row>
    <row r="13" spans="1:9" ht="16.5" thickBot="1" x14ac:dyDescent="0.3">
      <c r="B13" s="186"/>
      <c r="C13" s="256"/>
      <c r="D13" s="338"/>
      <c r="E13" s="182"/>
      <c r="F13" s="217" t="s">
        <v>73</v>
      </c>
      <c r="G13" s="218"/>
      <c r="H13" s="218"/>
      <c r="I13" s="189">
        <f>I12*D11</f>
        <v>14971.900000000001</v>
      </c>
    </row>
    <row r="14" spans="1:9" ht="16.5" thickBot="1" x14ac:dyDescent="0.3">
      <c r="B14" s="178"/>
      <c r="C14" s="294"/>
      <c r="D14" s="317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190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</row>
    <row r="19" spans="2:12" ht="15.75" x14ac:dyDescent="0.25">
      <c r="B19" s="312" t="s">
        <v>103</v>
      </c>
      <c r="C19" s="313"/>
      <c r="D19" s="308">
        <v>0.26041666666666669</v>
      </c>
      <c r="E19" s="308"/>
      <c r="F19" s="308">
        <v>0.2951388888888889</v>
      </c>
      <c r="G19" s="308"/>
      <c r="H19" s="308">
        <f>F19-D19</f>
        <v>3.472222222222221E-2</v>
      </c>
      <c r="I19" s="309"/>
    </row>
    <row r="20" spans="2:12" ht="15.75" x14ac:dyDescent="0.25">
      <c r="B20" s="306" t="s">
        <v>193</v>
      </c>
      <c r="C20" s="284"/>
      <c r="D20" s="307">
        <v>0.47916666666666669</v>
      </c>
      <c r="E20" s="307"/>
      <c r="F20" s="307">
        <v>0.52777777777777779</v>
      </c>
      <c r="G20" s="307"/>
      <c r="H20" s="308">
        <f t="shared" ref="H20:H24" si="0">F20-D20</f>
        <v>4.8611111111111105E-2</v>
      </c>
      <c r="I20" s="309"/>
    </row>
    <row r="21" spans="2:12" ht="15.75" x14ac:dyDescent="0.25">
      <c r="B21" s="312" t="s">
        <v>196</v>
      </c>
      <c r="C21" s="313"/>
      <c r="D21" s="314">
        <v>0.70833333333333337</v>
      </c>
      <c r="E21" s="315"/>
      <c r="F21" s="314">
        <v>0.77083333333333337</v>
      </c>
      <c r="G21" s="315"/>
      <c r="H21" s="308">
        <f t="shared" si="0"/>
        <v>6.25E-2</v>
      </c>
      <c r="I21" s="309"/>
    </row>
    <row r="22" spans="2:12" ht="15.75" x14ac:dyDescent="0.25">
      <c r="B22" s="306" t="s">
        <v>197</v>
      </c>
      <c r="C22" s="284"/>
      <c r="D22" s="307"/>
      <c r="E22" s="307"/>
      <c r="F22" s="307"/>
      <c r="G22" s="307"/>
      <c r="H22" s="308">
        <f t="shared" si="0"/>
        <v>0</v>
      </c>
      <c r="I22" s="309"/>
    </row>
    <row r="23" spans="2:12" ht="15.75" x14ac:dyDescent="0.25">
      <c r="B23" s="312" t="s">
        <v>187</v>
      </c>
      <c r="C23" s="313"/>
      <c r="D23" s="307">
        <v>0.94791666666666663</v>
      </c>
      <c r="E23" s="307"/>
      <c r="F23" s="307">
        <v>0.98611111111111116</v>
      </c>
      <c r="G23" s="307"/>
      <c r="H23" s="308">
        <f t="shared" si="0"/>
        <v>3.8194444444444531E-2</v>
      </c>
      <c r="I23" s="309"/>
    </row>
    <row r="24" spans="2:12" ht="15.75" x14ac:dyDescent="0.25">
      <c r="B24" s="306" t="s">
        <v>191</v>
      </c>
      <c r="C24" s="284"/>
      <c r="D24" s="307"/>
      <c r="E24" s="307"/>
      <c r="F24" s="307"/>
      <c r="G24" s="307"/>
      <c r="H24" s="308">
        <f t="shared" si="0"/>
        <v>0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0.18402777777777785</v>
      </c>
      <c r="I25" s="311"/>
      <c r="J25" s="6"/>
      <c r="L25">
        <f>60*4+25</f>
        <v>265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4.416666666666667</v>
      </c>
    </row>
    <row r="27" spans="2:12" ht="16.5" thickBot="1" x14ac:dyDescent="0.3">
      <c r="B27" s="300" t="s">
        <v>144</v>
      </c>
      <c r="C27" s="301"/>
      <c r="D27" s="302"/>
      <c r="E27" s="190"/>
      <c r="G27" s="303" t="s">
        <v>133</v>
      </c>
      <c r="H27" s="304"/>
      <c r="I27" s="305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9" t="s">
        <v>140</v>
      </c>
      <c r="H28" s="280"/>
      <c r="I28" s="161">
        <f>B34*22</f>
        <v>91.52000000000001</v>
      </c>
    </row>
    <row r="29" spans="2:12" ht="15.75" x14ac:dyDescent="0.25">
      <c r="B29" s="164">
        <f>H19</f>
        <v>3.472222222222221E-2</v>
      </c>
      <c r="C29" s="141"/>
      <c r="D29" s="193">
        <f>C29+B29</f>
        <v>3.472222222222221E-2</v>
      </c>
      <c r="E29" s="190"/>
      <c r="G29" s="255" t="s">
        <v>141</v>
      </c>
      <c r="H29" s="256"/>
      <c r="I29" s="162">
        <f>C34*22</f>
        <v>0</v>
      </c>
    </row>
    <row r="30" spans="2:12" ht="15.75" x14ac:dyDescent="0.25">
      <c r="B30" s="164">
        <f t="shared" ref="B30:B33" si="1">H20</f>
        <v>4.8611111111111105E-2</v>
      </c>
      <c r="C30" s="141"/>
      <c r="D30" s="193">
        <f t="shared" ref="D30:D33" si="2">C30+B30</f>
        <v>4.8611111111111105E-2</v>
      </c>
      <c r="E30" s="190"/>
      <c r="G30" s="255" t="s">
        <v>142</v>
      </c>
      <c r="H30" s="256"/>
      <c r="I30" s="162">
        <f>I28+I29</f>
        <v>91.52000000000001</v>
      </c>
    </row>
    <row r="31" spans="2:12" ht="15.75" x14ac:dyDescent="0.25">
      <c r="B31" s="164">
        <f t="shared" si="1"/>
        <v>6.25E-2</v>
      </c>
      <c r="C31" s="141"/>
      <c r="D31" s="193">
        <f t="shared" si="2"/>
        <v>6.25E-2</v>
      </c>
      <c r="E31" s="190"/>
      <c r="G31" s="255" t="s">
        <v>137</v>
      </c>
      <c r="H31" s="256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5" t="s">
        <v>143</v>
      </c>
      <c r="H32" s="256"/>
      <c r="I32" s="162">
        <f>I30*0.25</f>
        <v>22.880000000000003</v>
      </c>
    </row>
    <row r="33" spans="1:13" ht="16.5" thickBot="1" x14ac:dyDescent="0.3">
      <c r="B33" s="164">
        <f t="shared" si="1"/>
        <v>3.8194444444444531E-2</v>
      </c>
      <c r="C33" s="141"/>
      <c r="D33" s="193">
        <f t="shared" si="2"/>
        <v>3.8194444444444531E-2</v>
      </c>
      <c r="E33" s="190"/>
      <c r="G33" s="231" t="s">
        <v>133</v>
      </c>
      <c r="H33" s="232"/>
      <c r="I33" s="163">
        <f>((I30+I32)/I31)</f>
        <v>0.52</v>
      </c>
    </row>
    <row r="34" spans="1:13" ht="16.5" thickBot="1" x14ac:dyDescent="0.3">
      <c r="B34" s="205">
        <v>4.16</v>
      </c>
      <c r="C34" s="206"/>
      <c r="D34" s="207">
        <f>SUM(B34:C34)</f>
        <v>4.16</v>
      </c>
      <c r="E34" s="190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194</v>
      </c>
      <c r="C39" s="298"/>
      <c r="D39" s="298"/>
      <c r="E39" s="299"/>
      <c r="F39" s="14"/>
      <c r="J39" s="182"/>
    </row>
    <row r="40" spans="1:13" ht="15.75" customHeight="1" x14ac:dyDescent="0.25">
      <c r="B40" s="244" t="s">
        <v>93</v>
      </c>
      <c r="C40" s="246"/>
      <c r="D40" s="245"/>
      <c r="E40" s="195">
        <v>28</v>
      </c>
      <c r="F40" s="14"/>
      <c r="J40" s="182"/>
    </row>
    <row r="41" spans="1:13" ht="15.75" customHeight="1" x14ac:dyDescent="0.25">
      <c r="B41" s="244" t="s">
        <v>88</v>
      </c>
      <c r="C41" s="246"/>
      <c r="D41" s="245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4" t="s">
        <v>180</v>
      </c>
      <c r="C42" s="246"/>
      <c r="D42" s="245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4" t="s">
        <v>91</v>
      </c>
      <c r="C43" s="246"/>
      <c r="D43" s="245"/>
      <c r="E43" s="158">
        <v>494300</v>
      </c>
      <c r="F43" s="60"/>
      <c r="J43" s="182"/>
    </row>
    <row r="44" spans="1:13" ht="15.75" customHeight="1" x14ac:dyDescent="0.25">
      <c r="B44" s="255" t="s">
        <v>122</v>
      </c>
      <c r="C44" s="256"/>
      <c r="D44" s="256"/>
      <c r="E44" s="212">
        <v>3.3300000000000003E-2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444870</v>
      </c>
      <c r="F45" s="14"/>
    </row>
    <row r="46" spans="1:13" ht="15.75" customHeight="1" x14ac:dyDescent="0.25">
      <c r="B46" s="255" t="s">
        <v>89</v>
      </c>
      <c r="C46" s="256"/>
      <c r="D46" s="256"/>
      <c r="E46" s="195">
        <v>25</v>
      </c>
      <c r="F46" s="14"/>
    </row>
    <row r="47" spans="1:13" ht="15.75" customHeight="1" x14ac:dyDescent="0.25">
      <c r="B47" s="255" t="s">
        <v>90</v>
      </c>
      <c r="C47" s="256"/>
      <c r="D47" s="256"/>
      <c r="E47" s="195" t="s">
        <v>95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160">
        <v>30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52.326790500000001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64.454029500000004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16.843387499999999</v>
      </c>
      <c r="J55" s="18"/>
      <c r="K55" s="18"/>
      <c r="L55" s="182"/>
      <c r="M55" s="182"/>
    </row>
    <row r="56" spans="2:13" ht="15.75" customHeight="1" x14ac:dyDescent="0.25">
      <c r="B56" s="85" t="s">
        <v>165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63.880106666666677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1.7966279999999999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2.7690529050000001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6.1759087500000005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6.5876360000000007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8.9082805000000018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4.1172725000000003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196.19177759999999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431.19087042166666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82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0.52</v>
      </c>
      <c r="D76" s="132">
        <v>0.1</v>
      </c>
      <c r="E76" s="118">
        <f>E43</f>
        <v>494300</v>
      </c>
      <c r="F76" s="133">
        <f>E76*D76*C76</f>
        <v>25703.600000000002</v>
      </c>
      <c r="G76" s="134">
        <f>F76/12</f>
        <v>2141.9666666666667</v>
      </c>
      <c r="I76" s="182"/>
    </row>
    <row r="77" spans="2:12" ht="15.75" customHeight="1" x14ac:dyDescent="0.25">
      <c r="B77" s="125" t="s">
        <v>145</v>
      </c>
      <c r="C77" s="131">
        <f>C76</f>
        <v>0.52</v>
      </c>
      <c r="D77" s="132">
        <v>0.02</v>
      </c>
      <c r="E77" s="118">
        <f>E45</f>
        <v>444870</v>
      </c>
      <c r="F77" s="133">
        <f>E77*D77*C77</f>
        <v>4626.6480000000001</v>
      </c>
      <c r="G77" s="134">
        <f>F77/12</f>
        <v>385.55400000000003</v>
      </c>
      <c r="H77" s="6"/>
      <c r="I77" s="182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2748.7348333333334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82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97" t="s">
        <v>83</v>
      </c>
      <c r="G81" s="136">
        <f>G66</f>
        <v>431.19087042166666</v>
      </c>
      <c r="H81" s="6"/>
      <c r="I81" s="182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95">
        <v>7.6</v>
      </c>
      <c r="E82" s="24"/>
      <c r="F82" s="181" t="s">
        <v>84</v>
      </c>
      <c r="G82" s="84">
        <f>G78</f>
        <v>2748.7348333333334</v>
      </c>
      <c r="H82" s="6"/>
      <c r="I82" s="182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95">
        <f>I12/D82</f>
        <v>196.99868421052633</v>
      </c>
      <c r="E83" s="24"/>
      <c r="F83" s="183" t="s">
        <v>85</v>
      </c>
      <c r="G83" s="84">
        <f>D84</f>
        <v>1109.1025921052633</v>
      </c>
      <c r="H83" s="6"/>
      <c r="I83" s="182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1109.1025921052633</v>
      </c>
      <c r="E84" s="75"/>
      <c r="F84" s="179" t="s">
        <v>159</v>
      </c>
      <c r="G84" s="90">
        <f>SUM(G81:G83)</f>
        <v>4289.0282958602638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5" t="s">
        <v>19</v>
      </c>
      <c r="C93" s="256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2595.1799999999998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124.27595148227998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673.56654512139323</v>
      </c>
      <c r="F144" s="182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182"/>
      <c r="G145" s="183" t="s">
        <v>160</v>
      </c>
      <c r="H145" s="84">
        <f>H104</f>
        <v>2601.2999999999997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-25.279939352849997</v>
      </c>
      <c r="F147" s="182"/>
      <c r="G147" s="183" t="s">
        <v>161</v>
      </c>
      <c r="H147" s="84">
        <f>E148</f>
        <v>1125.6822093527637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1125.6822093527637</v>
      </c>
      <c r="F148" s="182"/>
      <c r="G148" s="179" t="s">
        <v>159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10233.049045907002</v>
      </c>
      <c r="D155" s="94">
        <v>0.05</v>
      </c>
      <c r="E155" s="84">
        <f>C155*D155</f>
        <v>511.65245229535014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10744.701498202352</v>
      </c>
      <c r="D156" s="94">
        <v>0.1</v>
      </c>
      <c r="E156" s="84">
        <f>C156*D156</f>
        <v>1074.4701498202353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11819.171648022588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754.41521157590978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1649.9698312054325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2340.5378136914951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3236.0924333210178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12573.586859598498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13469.141479228021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3090.8907900243048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4289.0282958602638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2340.5378136914951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3236.0924333210178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9720.4568995760637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10616.011519205586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6.4924671548541353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7.0906241153130765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115.71972499495314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126.38108951435221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honeticPr fontId="13" type="noConversion"/>
  <pageMargins left="0.7" right="0.7" top="0.75" bottom="0.75" header="0.3" footer="0.3"/>
  <pageSetup paperSize="9" scale="52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13" zoomScale="120" zoomScaleNormal="120" workbookViewId="0">
      <selection activeCell="C35" sqref="C35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209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8" t="s">
        <v>0</v>
      </c>
      <c r="C9" s="319"/>
      <c r="D9" s="198" t="s">
        <v>183</v>
      </c>
      <c r="F9" s="318" t="s">
        <v>3</v>
      </c>
      <c r="G9" s="319"/>
      <c r="H9" s="319"/>
      <c r="I9" s="143">
        <v>60</v>
      </c>
    </row>
    <row r="10" spans="1:9" ht="15.75" x14ac:dyDescent="0.25">
      <c r="B10" s="320" t="s">
        <v>1</v>
      </c>
      <c r="C10" s="321"/>
      <c r="D10" s="187">
        <v>204</v>
      </c>
      <c r="F10" s="320" t="s">
        <v>71</v>
      </c>
      <c r="G10" s="321"/>
      <c r="H10" s="321"/>
      <c r="I10" s="175">
        <f>I12/I11</f>
        <v>78.37</v>
      </c>
    </row>
    <row r="11" spans="1:9" ht="15.75" x14ac:dyDescent="0.25">
      <c r="B11" s="320" t="s">
        <v>75</v>
      </c>
      <c r="C11" s="321"/>
      <c r="D11" s="187">
        <v>10</v>
      </c>
      <c r="F11" s="320" t="s">
        <v>2</v>
      </c>
      <c r="G11" s="321"/>
      <c r="H11" s="321"/>
      <c r="I11" s="187">
        <v>22</v>
      </c>
    </row>
    <row r="12" spans="1:9" ht="15.75" x14ac:dyDescent="0.25">
      <c r="B12" s="320" t="s">
        <v>2</v>
      </c>
      <c r="C12" s="321"/>
      <c r="D12" s="187">
        <v>22</v>
      </c>
      <c r="F12" s="320" t="s">
        <v>72</v>
      </c>
      <c r="G12" s="321"/>
      <c r="H12" s="321"/>
      <c r="I12" s="187">
        <v>1724.14</v>
      </c>
    </row>
    <row r="13" spans="1:9" ht="16.5" thickBot="1" x14ac:dyDescent="0.3">
      <c r="B13" s="186"/>
      <c r="C13" s="256"/>
      <c r="D13" s="338"/>
      <c r="E13" s="182"/>
      <c r="F13" s="217" t="s">
        <v>73</v>
      </c>
      <c r="G13" s="218"/>
      <c r="H13" s="218"/>
      <c r="I13" s="189">
        <f>I12*D11</f>
        <v>17241.400000000001</v>
      </c>
    </row>
    <row r="14" spans="1:9" ht="16.5" thickBot="1" x14ac:dyDescent="0.3">
      <c r="B14" s="178"/>
      <c r="C14" s="294"/>
      <c r="D14" s="317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190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</row>
    <row r="19" spans="2:12" ht="15.75" x14ac:dyDescent="0.25">
      <c r="B19" s="312" t="s">
        <v>103</v>
      </c>
      <c r="C19" s="313"/>
      <c r="D19" s="308">
        <v>0.25</v>
      </c>
      <c r="E19" s="308"/>
      <c r="F19" s="308">
        <v>0.29166666666666669</v>
      </c>
      <c r="G19" s="308"/>
      <c r="H19" s="308">
        <f>F19-D19</f>
        <v>4.1666666666666685E-2</v>
      </c>
      <c r="I19" s="309"/>
    </row>
    <row r="20" spans="2:12" ht="15.75" x14ac:dyDescent="0.25">
      <c r="B20" s="312" t="s">
        <v>104</v>
      </c>
      <c r="C20" s="313"/>
      <c r="D20" s="307">
        <v>0.47916666666666669</v>
      </c>
      <c r="E20" s="307"/>
      <c r="F20" s="307">
        <v>0.52083333333333337</v>
      </c>
      <c r="G20" s="307"/>
      <c r="H20" s="308">
        <f t="shared" ref="H20:H24" si="0">F20-D20</f>
        <v>4.1666666666666685E-2</v>
      </c>
      <c r="I20" s="309"/>
      <c r="L20">
        <f>4*60+10</f>
        <v>250</v>
      </c>
    </row>
    <row r="21" spans="2:12" ht="15.75" x14ac:dyDescent="0.25">
      <c r="B21" s="312" t="s">
        <v>187</v>
      </c>
      <c r="C21" s="313"/>
      <c r="D21" s="314"/>
      <c r="E21" s="315"/>
      <c r="F21" s="314"/>
      <c r="G21" s="315"/>
      <c r="H21" s="308">
        <f t="shared" si="0"/>
        <v>0</v>
      </c>
      <c r="I21" s="309"/>
    </row>
    <row r="22" spans="2:12" ht="15.75" x14ac:dyDescent="0.25">
      <c r="B22" s="312" t="s">
        <v>188</v>
      </c>
      <c r="C22" s="313"/>
      <c r="D22" s="307"/>
      <c r="E22" s="307"/>
      <c r="F22" s="307"/>
      <c r="G22" s="307"/>
      <c r="H22" s="308">
        <f t="shared" si="0"/>
        <v>0</v>
      </c>
      <c r="I22" s="309"/>
    </row>
    <row r="23" spans="2:12" ht="15.75" x14ac:dyDescent="0.25">
      <c r="B23" s="312" t="s">
        <v>189</v>
      </c>
      <c r="C23" s="313"/>
      <c r="D23" s="307">
        <v>0.70833333333333337</v>
      </c>
      <c r="E23" s="307"/>
      <c r="F23" s="307">
        <v>0.76041666666666663</v>
      </c>
      <c r="G23" s="307"/>
      <c r="H23" s="308">
        <f t="shared" si="0"/>
        <v>5.2083333333333259E-2</v>
      </c>
      <c r="I23" s="309"/>
    </row>
    <row r="24" spans="2:12" ht="15.75" x14ac:dyDescent="0.25">
      <c r="B24" s="312" t="s">
        <v>190</v>
      </c>
      <c r="C24" s="313"/>
      <c r="D24" s="307">
        <v>0.94791666666666663</v>
      </c>
      <c r="E24" s="307"/>
      <c r="F24" s="307">
        <v>0.98611111111111116</v>
      </c>
      <c r="G24" s="307"/>
      <c r="H24" s="308">
        <f t="shared" si="0"/>
        <v>3.8194444444444531E-2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0.17361111111111116</v>
      </c>
      <c r="I25" s="311"/>
      <c r="J25" s="6"/>
      <c r="L25">
        <f>L20</f>
        <v>250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4.166666666666667</v>
      </c>
    </row>
    <row r="27" spans="2:12" ht="16.5" thickBot="1" x14ac:dyDescent="0.3">
      <c r="B27" s="300" t="s">
        <v>144</v>
      </c>
      <c r="C27" s="301"/>
      <c r="D27" s="302"/>
      <c r="E27" s="190"/>
      <c r="G27" s="303" t="s">
        <v>133</v>
      </c>
      <c r="H27" s="304"/>
      <c r="I27" s="305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9" t="s">
        <v>140</v>
      </c>
      <c r="H28" s="280"/>
      <c r="I28" s="161">
        <f>B34*22</f>
        <v>91.52000000000001</v>
      </c>
    </row>
    <row r="29" spans="2:12" ht="15.75" x14ac:dyDescent="0.25">
      <c r="B29" s="164">
        <f>H19</f>
        <v>4.1666666666666685E-2</v>
      </c>
      <c r="C29" s="141">
        <v>3.4722222222222224E-2</v>
      </c>
      <c r="D29" s="193">
        <f>C29+B29</f>
        <v>7.6388888888888909E-2</v>
      </c>
      <c r="E29" s="190"/>
      <c r="G29" s="255" t="s">
        <v>141</v>
      </c>
      <c r="H29" s="256"/>
      <c r="I29" s="162">
        <f>C34*22</f>
        <v>55</v>
      </c>
      <c r="L29">
        <f>75/60</f>
        <v>1.25</v>
      </c>
    </row>
    <row r="30" spans="2:12" ht="15.75" x14ac:dyDescent="0.25">
      <c r="B30" s="164">
        <f t="shared" ref="B30:B33" si="1">H20</f>
        <v>4.1666666666666685E-2</v>
      </c>
      <c r="C30" s="141">
        <v>3.4722222222222224E-2</v>
      </c>
      <c r="D30" s="193">
        <f t="shared" ref="D30:D33" si="2">C30+B30</f>
        <v>7.6388888888888909E-2</v>
      </c>
      <c r="E30" s="190"/>
      <c r="G30" s="255" t="s">
        <v>142</v>
      </c>
      <c r="H30" s="256"/>
      <c r="I30" s="162">
        <f>I28+I29</f>
        <v>146.52000000000001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5" t="s">
        <v>137</v>
      </c>
      <c r="H31" s="256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5" t="s">
        <v>143</v>
      </c>
      <c r="H32" s="256"/>
      <c r="I32" s="162">
        <f>I30*0.25</f>
        <v>36.630000000000003</v>
      </c>
    </row>
    <row r="33" spans="1:13" ht="16.5" thickBot="1" x14ac:dyDescent="0.3">
      <c r="B33" s="164">
        <f t="shared" si="1"/>
        <v>5.2083333333333259E-2</v>
      </c>
      <c r="C33" s="141">
        <v>3.4722222222222224E-2</v>
      </c>
      <c r="D33" s="193">
        <f t="shared" si="2"/>
        <v>8.6805555555555483E-2</v>
      </c>
      <c r="E33" s="190"/>
      <c r="G33" s="231" t="s">
        <v>133</v>
      </c>
      <c r="H33" s="232"/>
      <c r="I33" s="163">
        <f>((I30+I32)/I31)</f>
        <v>0.83250000000000002</v>
      </c>
    </row>
    <row r="34" spans="1:13" ht="16.5" thickBot="1" x14ac:dyDescent="0.3">
      <c r="B34" s="205">
        <v>4.16</v>
      </c>
      <c r="C34" s="206">
        <v>2.5</v>
      </c>
      <c r="D34" s="207">
        <f>SUM(B34:C34)</f>
        <v>6.66</v>
      </c>
      <c r="E34" s="190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195</v>
      </c>
      <c r="C39" s="298"/>
      <c r="D39" s="298"/>
      <c r="E39" s="299"/>
      <c r="F39" s="14"/>
      <c r="J39" s="182"/>
    </row>
    <row r="40" spans="1:13" ht="15.75" customHeight="1" x14ac:dyDescent="0.25">
      <c r="B40" s="244" t="s">
        <v>93</v>
      </c>
      <c r="C40" s="246"/>
      <c r="D40" s="245"/>
      <c r="E40" s="195">
        <v>15</v>
      </c>
      <c r="F40" s="14"/>
      <c r="J40" s="182"/>
    </row>
    <row r="41" spans="1:13" ht="15.75" customHeight="1" x14ac:dyDescent="0.25">
      <c r="B41" s="244" t="s">
        <v>88</v>
      </c>
      <c r="C41" s="246"/>
      <c r="D41" s="245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4" t="s">
        <v>180</v>
      </c>
      <c r="C42" s="246"/>
      <c r="D42" s="245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4" t="s">
        <v>91</v>
      </c>
      <c r="C43" s="246"/>
      <c r="D43" s="245"/>
      <c r="E43" s="158">
        <v>240000</v>
      </c>
      <c r="F43" s="60"/>
      <c r="J43" s="182"/>
    </row>
    <row r="44" spans="1:13" ht="15.75" customHeight="1" x14ac:dyDescent="0.25">
      <c r="B44" s="255" t="s">
        <v>122</v>
      </c>
      <c r="C44" s="256"/>
      <c r="D44" s="256"/>
      <c r="E44" s="159">
        <v>0.1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216000</v>
      </c>
      <c r="F45" s="14"/>
    </row>
    <row r="46" spans="1:13" ht="15.75" customHeight="1" x14ac:dyDescent="0.25">
      <c r="B46" s="255" t="s">
        <v>89</v>
      </c>
      <c r="C46" s="256"/>
      <c r="D46" s="256"/>
      <c r="E46" s="195">
        <f>'Trajeto 1'!E46</f>
        <v>25</v>
      </c>
      <c r="F46" s="14"/>
    </row>
    <row r="47" spans="1:13" ht="15.75" customHeight="1" x14ac:dyDescent="0.25">
      <c r="B47" s="255" t="s">
        <v>90</v>
      </c>
      <c r="C47" s="256"/>
      <c r="D47" s="256"/>
      <c r="E47" s="204" t="str">
        <f>'Trajeto 1'!E47</f>
        <v>1 ano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204">
        <f>'Trajeto 1'!E48</f>
        <v>30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60.258693000000008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74.224226999999999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19.396575000000002</v>
      </c>
      <c r="J55" s="18"/>
      <c r="K55" s="18"/>
      <c r="L55" s="182"/>
      <c r="M55" s="182"/>
    </row>
    <row r="56" spans="2:13" ht="15.75" customHeight="1" x14ac:dyDescent="0.25">
      <c r="B56" s="85" t="s">
        <v>165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73.563306666666676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2.0689679999999999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3.1887969300000001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7.1120775000000007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7.5862160000000012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10.258633000000001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4.7413850000000002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225.9313056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495.47018369666671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82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0.83250000000000002</v>
      </c>
      <c r="D76" s="132">
        <v>0.1</v>
      </c>
      <c r="E76" s="118">
        <f>E43</f>
        <v>240000</v>
      </c>
      <c r="F76" s="133">
        <f>E76*D76*C76</f>
        <v>19980</v>
      </c>
      <c r="G76" s="134">
        <f>F76/12</f>
        <v>1665</v>
      </c>
      <c r="I76" s="182"/>
    </row>
    <row r="77" spans="2:12" ht="15.75" customHeight="1" x14ac:dyDescent="0.25">
      <c r="B77" s="125" t="s">
        <v>145</v>
      </c>
      <c r="C77" s="131">
        <f>C76</f>
        <v>0.83250000000000002</v>
      </c>
      <c r="D77" s="132">
        <v>0.02</v>
      </c>
      <c r="E77" s="118">
        <f>E45</f>
        <v>216000</v>
      </c>
      <c r="F77" s="133">
        <f>E77*D77*C77</f>
        <v>3596.4</v>
      </c>
      <c r="G77" s="134">
        <f>F77/12</f>
        <v>299.7</v>
      </c>
      <c r="H77" s="6"/>
      <c r="I77" s="182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2185.9141666666665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82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97" t="s">
        <v>83</v>
      </c>
      <c r="G81" s="136">
        <f>G66</f>
        <v>495.47018369666671</v>
      </c>
      <c r="H81" s="6"/>
      <c r="I81" s="182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95">
        <v>7.6</v>
      </c>
      <c r="E82" s="24"/>
      <c r="F82" s="181" t="s">
        <v>84</v>
      </c>
      <c r="G82" s="84">
        <f>G78</f>
        <v>2185.9141666666665</v>
      </c>
      <c r="H82" s="6"/>
      <c r="I82" s="182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95">
        <f>I12/D82</f>
        <v>226.86052631578949</v>
      </c>
      <c r="E83" s="24"/>
      <c r="F83" s="183" t="s">
        <v>85</v>
      </c>
      <c r="G83" s="84">
        <f>D84</f>
        <v>1277.2247631578948</v>
      </c>
      <c r="H83" s="6"/>
      <c r="I83" s="182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1277.2247631578948</v>
      </c>
      <c r="E84" s="75"/>
      <c r="F84" s="179" t="s">
        <v>159</v>
      </c>
      <c r="G84" s="90">
        <f>SUM(G81:G83)</f>
        <v>3958.6091135212282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1799.53</v>
      </c>
      <c r="E91" s="184"/>
      <c r="F91" s="187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5" t="s">
        <v>19</v>
      </c>
      <c r="C93" s="256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1799.53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1805.6499999999999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150.41064499999999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150.41064499999999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50.131867978499997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350.95315797849997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2156.6031579784999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431.32063159569998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53.915078949462497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64.698094739355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32.3490473696775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21.566031579785001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12.939618947870999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4.3132063159570002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621.10170949780797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172.52825263828001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793.6299621360879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1712.684120114588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2897.2324106167798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184"/>
      <c r="E133" s="84">
        <f>C132/12</f>
        <v>241.43603421806498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19.314882737445199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86.264126319140004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347.01504327465017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3518.3341201145877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184"/>
      <c r="E140" s="84">
        <f>C139/12</f>
        <v>293.19451000954899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107.89557968351403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86.264126319140004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487.35421601220304</v>
      </c>
      <c r="F144" s="182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182"/>
      <c r="G145" s="183" t="s">
        <v>160</v>
      </c>
      <c r="H145" s="84">
        <f>H104</f>
        <v>1805.6499999999999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-17.547657898924999</v>
      </c>
      <c r="F146" s="182"/>
      <c r="G146" s="183" t="s">
        <v>84</v>
      </c>
      <c r="H146" s="84">
        <f>E128</f>
        <v>1712.684120114588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-17.547657898924999</v>
      </c>
      <c r="F147" s="182"/>
      <c r="G147" s="183" t="s">
        <v>161</v>
      </c>
      <c r="H147" s="84">
        <f>E148</f>
        <v>816.82160138792824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816.82160138792824</v>
      </c>
      <c r="F148" s="182"/>
      <c r="G148" s="179" t="s">
        <v>159</v>
      </c>
      <c r="H148" s="157">
        <f>SUM(H145:H147)</f>
        <v>4335.1557215025159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8293.7648350237432</v>
      </c>
      <c r="D155" s="94">
        <v>0.05</v>
      </c>
      <c r="E155" s="84">
        <f>C155*D155</f>
        <v>414.68824175118721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8708.4530767749311</v>
      </c>
      <c r="D156" s="94">
        <v>0.1</v>
      </c>
      <c r="E156" s="84">
        <f>C156*D156</f>
        <v>870.84530767749311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9579.2983844524242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611.44457773100578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1337.2809710489139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1896.978127159686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2622.8145204775942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10190.742962183431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10916.579355501339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3609.0171381508444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3958.6091135212282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1896.978127159686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2622.8145204775942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9464.6043788317584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10190.440772149666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5.4894639523656767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5.9104485553085402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157.74340631386264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169.84067953582777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A28" zoomScale="120" zoomScaleNormal="120" workbookViewId="0">
      <selection activeCell="E46" sqref="E46:E48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182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8" t="s">
        <v>0</v>
      </c>
      <c r="C9" s="319"/>
      <c r="D9" s="198" t="s">
        <v>183</v>
      </c>
      <c r="F9" s="318" t="s">
        <v>3</v>
      </c>
      <c r="G9" s="319"/>
      <c r="H9" s="319"/>
      <c r="I9" s="143">
        <f>48*4</f>
        <v>192</v>
      </c>
    </row>
    <row r="10" spans="1:9" ht="15.75" x14ac:dyDescent="0.25">
      <c r="B10" s="320" t="s">
        <v>1</v>
      </c>
      <c r="C10" s="321"/>
      <c r="D10" s="187">
        <v>204</v>
      </c>
      <c r="F10" s="320" t="s">
        <v>71</v>
      </c>
      <c r="G10" s="321"/>
      <c r="H10" s="321"/>
      <c r="I10" s="175">
        <f>I12/I11</f>
        <v>75.58</v>
      </c>
    </row>
    <row r="11" spans="1:9" ht="15.75" x14ac:dyDescent="0.25">
      <c r="B11" s="320" t="s">
        <v>75</v>
      </c>
      <c r="C11" s="321"/>
      <c r="D11" s="187">
        <v>10</v>
      </c>
      <c r="F11" s="320" t="s">
        <v>2</v>
      </c>
      <c r="G11" s="321"/>
      <c r="H11" s="321"/>
      <c r="I11" s="187">
        <v>22</v>
      </c>
    </row>
    <row r="12" spans="1:9" ht="15.75" x14ac:dyDescent="0.25">
      <c r="B12" s="320" t="s">
        <v>2</v>
      </c>
      <c r="C12" s="321"/>
      <c r="D12" s="187">
        <v>22</v>
      </c>
      <c r="F12" s="320" t="s">
        <v>72</v>
      </c>
      <c r="G12" s="321"/>
      <c r="H12" s="321"/>
      <c r="I12" s="187">
        <v>1662.76</v>
      </c>
    </row>
    <row r="13" spans="1:9" ht="16.5" thickBot="1" x14ac:dyDescent="0.3">
      <c r="B13" s="186"/>
      <c r="C13" s="256"/>
      <c r="D13" s="338"/>
      <c r="E13" s="182"/>
      <c r="F13" s="217" t="s">
        <v>73</v>
      </c>
      <c r="G13" s="218"/>
      <c r="H13" s="218"/>
      <c r="I13" s="189">
        <f>I12*D11</f>
        <v>16627.599999999999</v>
      </c>
    </row>
    <row r="14" spans="1:9" ht="16.5" thickBot="1" x14ac:dyDescent="0.3">
      <c r="B14" s="178"/>
      <c r="C14" s="294"/>
      <c r="D14" s="317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190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</row>
    <row r="19" spans="2:12" ht="15.75" x14ac:dyDescent="0.25">
      <c r="B19" s="312" t="s">
        <v>103</v>
      </c>
      <c r="C19" s="313"/>
      <c r="D19" s="308">
        <v>0.25</v>
      </c>
      <c r="E19" s="308"/>
      <c r="F19" s="308">
        <v>0.30208333333333331</v>
      </c>
      <c r="G19" s="308"/>
      <c r="H19" s="308">
        <f>F19-D19</f>
        <v>5.2083333333333315E-2</v>
      </c>
      <c r="I19" s="309"/>
    </row>
    <row r="20" spans="2:12" ht="15.75" x14ac:dyDescent="0.25">
      <c r="B20" s="306" t="s">
        <v>104</v>
      </c>
      <c r="C20" s="284"/>
      <c r="D20" s="307">
        <v>0.47222222222222227</v>
      </c>
      <c r="E20" s="307"/>
      <c r="F20" s="307">
        <v>0.53819444444444442</v>
      </c>
      <c r="G20" s="307"/>
      <c r="H20" s="308">
        <f t="shared" ref="H20:H24" si="0">F20-D20</f>
        <v>6.5972222222222154E-2</v>
      </c>
      <c r="I20" s="309"/>
    </row>
    <row r="21" spans="2:12" ht="15.75" x14ac:dyDescent="0.25">
      <c r="B21" s="312" t="s">
        <v>187</v>
      </c>
      <c r="C21" s="313"/>
      <c r="D21" s="314"/>
      <c r="E21" s="315"/>
      <c r="F21" s="314"/>
      <c r="G21" s="315"/>
      <c r="H21" s="308">
        <f t="shared" si="0"/>
        <v>0</v>
      </c>
      <c r="I21" s="309"/>
    </row>
    <row r="22" spans="2:12" ht="15.75" x14ac:dyDescent="0.25">
      <c r="B22" s="306" t="s">
        <v>191</v>
      </c>
      <c r="C22" s="284"/>
      <c r="D22" s="307">
        <v>0.94791666666666663</v>
      </c>
      <c r="E22" s="307"/>
      <c r="F22" s="307">
        <v>0.98611111111111116</v>
      </c>
      <c r="G22" s="307"/>
      <c r="H22" s="308">
        <f t="shared" si="0"/>
        <v>3.8194444444444531E-2</v>
      </c>
      <c r="I22" s="309"/>
    </row>
    <row r="23" spans="2:12" ht="15.75" x14ac:dyDescent="0.25">
      <c r="B23" s="312"/>
      <c r="C23" s="313"/>
      <c r="D23" s="307"/>
      <c r="E23" s="307"/>
      <c r="F23" s="307"/>
      <c r="G23" s="307"/>
      <c r="H23" s="308">
        <f t="shared" si="0"/>
        <v>0</v>
      </c>
      <c r="I23" s="309"/>
    </row>
    <row r="24" spans="2:12" ht="15.75" x14ac:dyDescent="0.25">
      <c r="B24" s="306"/>
      <c r="C24" s="284"/>
      <c r="D24" s="307"/>
      <c r="E24" s="307"/>
      <c r="F24" s="307"/>
      <c r="G24" s="307"/>
      <c r="H24" s="308">
        <f t="shared" si="0"/>
        <v>0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0.15625</v>
      </c>
      <c r="I25" s="311"/>
      <c r="J25" s="6"/>
      <c r="L25">
        <f>60*3+45</f>
        <v>225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3.75</v>
      </c>
    </row>
    <row r="27" spans="2:12" ht="16.5" thickBot="1" x14ac:dyDescent="0.3">
      <c r="B27" s="300" t="s">
        <v>144</v>
      </c>
      <c r="C27" s="301"/>
      <c r="D27" s="302"/>
      <c r="E27" s="190"/>
      <c r="G27" s="303" t="s">
        <v>133</v>
      </c>
      <c r="H27" s="304"/>
      <c r="I27" s="305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9" t="s">
        <v>140</v>
      </c>
      <c r="H28" s="280"/>
      <c r="I28" s="161">
        <f>B34*22</f>
        <v>82.5</v>
      </c>
    </row>
    <row r="29" spans="2:12" ht="15.75" x14ac:dyDescent="0.25">
      <c r="B29" s="164">
        <f>H19</f>
        <v>5.2083333333333315E-2</v>
      </c>
      <c r="C29" s="141">
        <v>2.0833333333333332E-2</v>
      </c>
      <c r="D29" s="193">
        <f>C29+B29</f>
        <v>7.2916666666666644E-2</v>
      </c>
      <c r="E29" s="190"/>
      <c r="G29" s="255" t="s">
        <v>141</v>
      </c>
      <c r="H29" s="256"/>
      <c r="I29" s="162">
        <f>C34*22</f>
        <v>33</v>
      </c>
    </row>
    <row r="30" spans="2:12" ht="15.75" x14ac:dyDescent="0.25">
      <c r="B30" s="164">
        <f t="shared" ref="B30:B33" si="1">H20</f>
        <v>6.5972222222222154E-2</v>
      </c>
      <c r="C30" s="141">
        <v>2.0833333333333332E-2</v>
      </c>
      <c r="D30" s="193">
        <f t="shared" ref="D30:D33" si="2">C30+B30</f>
        <v>8.6805555555555483E-2</v>
      </c>
      <c r="E30" s="190"/>
      <c r="G30" s="255" t="s">
        <v>142</v>
      </c>
      <c r="H30" s="256"/>
      <c r="I30" s="162">
        <f>I28+I29</f>
        <v>115.5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5" t="s">
        <v>137</v>
      </c>
      <c r="H31" s="256"/>
      <c r="I31" s="162">
        <v>220</v>
      </c>
    </row>
    <row r="32" spans="2:12" ht="15.75" x14ac:dyDescent="0.25">
      <c r="B32" s="164">
        <f t="shared" si="1"/>
        <v>3.8194444444444531E-2</v>
      </c>
      <c r="C32" s="141">
        <v>2.0833333333333332E-2</v>
      </c>
      <c r="D32" s="193">
        <f t="shared" si="2"/>
        <v>5.902777777777786E-2</v>
      </c>
      <c r="E32" s="190"/>
      <c r="G32" s="255" t="s">
        <v>143</v>
      </c>
      <c r="H32" s="256"/>
      <c r="I32" s="162">
        <f>I30*0.25</f>
        <v>28.875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31" t="s">
        <v>133</v>
      </c>
      <c r="H33" s="232"/>
      <c r="I33" s="163">
        <f>((I30+I32)/I31)</f>
        <v>0.65625</v>
      </c>
    </row>
    <row r="34" spans="1:13" ht="16.5" thickBot="1" x14ac:dyDescent="0.3">
      <c r="B34" s="205">
        <f>L26</f>
        <v>3.75</v>
      </c>
      <c r="C34" s="206">
        <v>1.5</v>
      </c>
      <c r="D34" s="207">
        <f>SUM(B34:C34)</f>
        <v>5.25</v>
      </c>
      <c r="E34" s="190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194</v>
      </c>
      <c r="C39" s="298"/>
      <c r="D39" s="298"/>
      <c r="E39" s="299"/>
      <c r="F39" s="14"/>
      <c r="J39" s="182"/>
    </row>
    <row r="40" spans="1:13" ht="15.75" customHeight="1" x14ac:dyDescent="0.25">
      <c r="B40" s="244" t="s">
        <v>93</v>
      </c>
      <c r="C40" s="246"/>
      <c r="D40" s="245"/>
      <c r="E40" s="195">
        <v>28</v>
      </c>
      <c r="F40" s="14"/>
      <c r="J40" s="182"/>
    </row>
    <row r="41" spans="1:13" ht="15.75" customHeight="1" x14ac:dyDescent="0.25">
      <c r="B41" s="244" t="s">
        <v>88</v>
      </c>
      <c r="C41" s="246"/>
      <c r="D41" s="245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4" t="s">
        <v>180</v>
      </c>
      <c r="C42" s="246"/>
      <c r="D42" s="245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4" t="s">
        <v>91</v>
      </c>
      <c r="C43" s="246"/>
      <c r="D43" s="245"/>
      <c r="E43" s="158">
        <v>540156</v>
      </c>
      <c r="F43" s="60"/>
      <c r="J43" s="182"/>
    </row>
    <row r="44" spans="1:13" ht="15.75" customHeight="1" x14ac:dyDescent="0.25">
      <c r="B44" s="255" t="s">
        <v>122</v>
      </c>
      <c r="C44" s="256"/>
      <c r="D44" s="256"/>
      <c r="E44" s="159">
        <v>0.1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486140.4</v>
      </c>
      <c r="F45" s="14"/>
    </row>
    <row r="46" spans="1:13" ht="15.75" customHeight="1" x14ac:dyDescent="0.25">
      <c r="B46" s="255" t="s">
        <v>89</v>
      </c>
      <c r="C46" s="256"/>
      <c r="D46" s="256"/>
      <c r="E46" s="195">
        <f>'Trajeto 2'!E46</f>
        <v>25</v>
      </c>
      <c r="F46" s="14"/>
    </row>
    <row r="47" spans="1:13" ht="15.75" customHeight="1" x14ac:dyDescent="0.25">
      <c r="B47" s="255" t="s">
        <v>90</v>
      </c>
      <c r="C47" s="256"/>
      <c r="D47" s="256"/>
      <c r="E47" s="204" t="str">
        <f>'Trajeto 2'!E47</f>
        <v>1 ano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204">
        <f>'Trajeto 2'!E48</f>
        <v>30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58.113462000000006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71.581817999999998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18.706049999999998</v>
      </c>
      <c r="J55" s="18"/>
      <c r="K55" s="18"/>
      <c r="L55" s="182"/>
      <c r="M55" s="182"/>
    </row>
    <row r="56" spans="2:13" ht="15.75" customHeight="1" x14ac:dyDescent="0.25">
      <c r="B56" s="85" t="s">
        <v>165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70.944426666666658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1.9953119999999998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3.0752746200000001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6.8588849999999999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7.3161440000000004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9.893422000000001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4.5725899999999999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217.88807039999998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478.08545468666659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82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0.65625</v>
      </c>
      <c r="D76" s="132">
        <v>0.1</v>
      </c>
      <c r="E76" s="118">
        <f>E43</f>
        <v>540156</v>
      </c>
      <c r="F76" s="133">
        <f>E76*D76*C76</f>
        <v>35447.737500000003</v>
      </c>
      <c r="G76" s="134">
        <f>F76/12</f>
        <v>2953.9781250000001</v>
      </c>
      <c r="I76" s="182"/>
    </row>
    <row r="77" spans="2:12" ht="15.75" customHeight="1" x14ac:dyDescent="0.25">
      <c r="B77" s="125" t="s">
        <v>145</v>
      </c>
      <c r="C77" s="131">
        <f>C76</f>
        <v>0.65625</v>
      </c>
      <c r="D77" s="132">
        <v>0.02</v>
      </c>
      <c r="E77" s="118">
        <f>E45</f>
        <v>486140.4</v>
      </c>
      <c r="F77" s="133">
        <f>E77*D77*C77</f>
        <v>6380.5927500000007</v>
      </c>
      <c r="G77" s="134">
        <f>F77/12</f>
        <v>531.71606250000002</v>
      </c>
      <c r="H77" s="6"/>
      <c r="I77" s="182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3706.9083541666669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82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97" t="s">
        <v>83</v>
      </c>
      <c r="G81" s="136">
        <f>G66</f>
        <v>478.08545468666659</v>
      </c>
      <c r="H81" s="6"/>
      <c r="I81" s="182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95">
        <v>7.6</v>
      </c>
      <c r="E82" s="24"/>
      <c r="F82" s="181" t="s">
        <v>84</v>
      </c>
      <c r="G82" s="84">
        <f>G78</f>
        <v>3706.9083541666669</v>
      </c>
      <c r="H82" s="6"/>
      <c r="I82" s="182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95">
        <f>I12/D82</f>
        <v>218.7842105263158</v>
      </c>
      <c r="E83" s="24"/>
      <c r="F83" s="183" t="s">
        <v>85</v>
      </c>
      <c r="G83" s="84">
        <f>D84</f>
        <v>1231.7551052631579</v>
      </c>
      <c r="H83" s="6"/>
      <c r="I83" s="182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1231.7551052631579</v>
      </c>
      <c r="E84" s="75"/>
      <c r="F84" s="179" t="s">
        <v>159</v>
      </c>
      <c r="G84" s="90">
        <f>SUM(G81:G83)</f>
        <v>5416.7489141164915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5" t="s">
        <v>19</v>
      </c>
      <c r="C93" s="256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2595.1799999999998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124.27595148227998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673.56654512139323</v>
      </c>
      <c r="F144" s="182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182"/>
      <c r="G145" s="183" t="s">
        <v>160</v>
      </c>
      <c r="H145" s="84">
        <f>H104</f>
        <v>2601.2999999999997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-25.279939352849997</v>
      </c>
      <c r="F147" s="182"/>
      <c r="G147" s="183" t="s">
        <v>161</v>
      </c>
      <c r="H147" s="84">
        <f>E148</f>
        <v>1125.6822093527637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1125.6822093527637</v>
      </c>
      <c r="F148" s="182"/>
      <c r="G148" s="179" t="s">
        <v>159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11360.769664163232</v>
      </c>
      <c r="D155" s="94">
        <v>0.05</v>
      </c>
      <c r="E155" s="84">
        <f>C155*D155</f>
        <v>568.03848320816167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11928.808147371394</v>
      </c>
      <c r="D156" s="94">
        <v>0.1</v>
      </c>
      <c r="E156" s="84">
        <f>C156*D156</f>
        <v>1192.8808147371394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13121.688962108534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837.55461460267236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1831.8027326020463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2598.4739125479737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3592.7220305473475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13959.243576711207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14953.491694710581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3900.7636172181728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5416.7489141164915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2598.4739125479737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3592.7220305473475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11915.986443882639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12910.234561882013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7.1663898842181908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7.7643403509117448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62.062429395222075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67.240805009802145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A7" zoomScale="120" zoomScaleNormal="120" workbookViewId="0">
      <selection activeCell="B35" sqref="B35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182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8" t="s">
        <v>0</v>
      </c>
      <c r="C9" s="319"/>
      <c r="D9" s="198" t="s">
        <v>183</v>
      </c>
      <c r="F9" s="318" t="s">
        <v>3</v>
      </c>
      <c r="G9" s="319"/>
      <c r="H9" s="319"/>
      <c r="I9" s="143">
        <f>48*4</f>
        <v>192</v>
      </c>
    </row>
    <row r="10" spans="1:9" ht="15.75" x14ac:dyDescent="0.25">
      <c r="B10" s="320" t="s">
        <v>1</v>
      </c>
      <c r="C10" s="321"/>
      <c r="D10" s="187">
        <v>204</v>
      </c>
      <c r="F10" s="320" t="s">
        <v>71</v>
      </c>
      <c r="G10" s="321"/>
      <c r="H10" s="321"/>
      <c r="I10" s="175">
        <f>I12/I11</f>
        <v>116.31818181818181</v>
      </c>
    </row>
    <row r="11" spans="1:9" ht="15.75" x14ac:dyDescent="0.25">
      <c r="B11" s="320" t="s">
        <v>75</v>
      </c>
      <c r="C11" s="321"/>
      <c r="D11" s="187">
        <v>10</v>
      </c>
      <c r="F11" s="320" t="s">
        <v>2</v>
      </c>
      <c r="G11" s="321"/>
      <c r="H11" s="321"/>
      <c r="I11" s="187">
        <v>22</v>
      </c>
    </row>
    <row r="12" spans="1:9" ht="15.75" x14ac:dyDescent="0.25">
      <c r="B12" s="320" t="s">
        <v>2</v>
      </c>
      <c r="C12" s="321"/>
      <c r="D12" s="187">
        <v>22</v>
      </c>
      <c r="F12" s="320" t="s">
        <v>72</v>
      </c>
      <c r="G12" s="321"/>
      <c r="H12" s="321"/>
      <c r="I12" s="187">
        <v>2559</v>
      </c>
    </row>
    <row r="13" spans="1:9" ht="16.5" thickBot="1" x14ac:dyDescent="0.3">
      <c r="B13" s="186"/>
      <c r="C13" s="256"/>
      <c r="D13" s="338"/>
      <c r="E13" s="182"/>
      <c r="F13" s="217" t="s">
        <v>73</v>
      </c>
      <c r="G13" s="218"/>
      <c r="H13" s="218"/>
      <c r="I13" s="189">
        <f>I12*D11</f>
        <v>25590</v>
      </c>
    </row>
    <row r="14" spans="1:9" ht="16.5" thickBot="1" x14ac:dyDescent="0.3">
      <c r="B14" s="178"/>
      <c r="C14" s="294"/>
      <c r="D14" s="317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190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</row>
    <row r="19" spans="2:12" ht="15.75" x14ac:dyDescent="0.25">
      <c r="B19" s="312" t="s">
        <v>103</v>
      </c>
      <c r="C19" s="313"/>
      <c r="D19" s="308">
        <v>0.25</v>
      </c>
      <c r="E19" s="308"/>
      <c r="F19" s="308">
        <v>0.30208333333333331</v>
      </c>
      <c r="G19" s="308"/>
      <c r="H19" s="308">
        <f>F19-D19</f>
        <v>5.2083333333333315E-2</v>
      </c>
      <c r="I19" s="309"/>
    </row>
    <row r="20" spans="2:12" ht="15.75" x14ac:dyDescent="0.25">
      <c r="B20" s="306" t="s">
        <v>104</v>
      </c>
      <c r="C20" s="284"/>
      <c r="D20" s="307">
        <v>0.47222222222222227</v>
      </c>
      <c r="E20" s="307"/>
      <c r="F20" s="307">
        <v>0.53819444444444442</v>
      </c>
      <c r="G20" s="307"/>
      <c r="H20" s="308">
        <f t="shared" ref="H20:H24" si="0">F20-D20</f>
        <v>6.5972222222222154E-2</v>
      </c>
      <c r="I20" s="309"/>
    </row>
    <row r="21" spans="2:12" ht="15.75" x14ac:dyDescent="0.25">
      <c r="B21" s="312" t="s">
        <v>187</v>
      </c>
      <c r="C21" s="313"/>
      <c r="D21" s="314"/>
      <c r="E21" s="315"/>
      <c r="F21" s="314"/>
      <c r="G21" s="315"/>
      <c r="H21" s="308">
        <f t="shared" si="0"/>
        <v>0</v>
      </c>
      <c r="I21" s="309"/>
    </row>
    <row r="22" spans="2:12" ht="15.75" x14ac:dyDescent="0.25">
      <c r="B22" s="306" t="s">
        <v>191</v>
      </c>
      <c r="C22" s="284"/>
      <c r="D22" s="307">
        <v>0.94791666666666663</v>
      </c>
      <c r="E22" s="307"/>
      <c r="F22" s="307">
        <v>0.98611111111111116</v>
      </c>
      <c r="G22" s="307"/>
      <c r="H22" s="308">
        <f t="shared" si="0"/>
        <v>3.8194444444444531E-2</v>
      </c>
      <c r="I22" s="309"/>
    </row>
    <row r="23" spans="2:12" ht="15.75" x14ac:dyDescent="0.25">
      <c r="B23" s="312"/>
      <c r="C23" s="313"/>
      <c r="D23" s="307"/>
      <c r="E23" s="307"/>
      <c r="F23" s="307"/>
      <c r="G23" s="307"/>
      <c r="H23" s="308">
        <f t="shared" si="0"/>
        <v>0</v>
      </c>
      <c r="I23" s="309"/>
    </row>
    <row r="24" spans="2:12" ht="15.75" x14ac:dyDescent="0.25">
      <c r="B24" s="306"/>
      <c r="C24" s="284"/>
      <c r="D24" s="307"/>
      <c r="E24" s="307"/>
      <c r="F24" s="307"/>
      <c r="G24" s="307"/>
      <c r="H24" s="308">
        <f t="shared" si="0"/>
        <v>0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0.15625</v>
      </c>
      <c r="I25" s="311"/>
      <c r="J25" s="6"/>
      <c r="L25">
        <f>60*3+45</f>
        <v>225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3.75</v>
      </c>
    </row>
    <row r="27" spans="2:12" ht="16.5" thickBot="1" x14ac:dyDescent="0.3">
      <c r="B27" s="300" t="s">
        <v>144</v>
      </c>
      <c r="C27" s="301"/>
      <c r="D27" s="302"/>
      <c r="E27" s="190"/>
      <c r="G27" s="303" t="s">
        <v>133</v>
      </c>
      <c r="H27" s="304"/>
      <c r="I27" s="305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9" t="s">
        <v>140</v>
      </c>
      <c r="H28" s="280"/>
      <c r="I28" s="161">
        <f>B34*22</f>
        <v>75.900000000000006</v>
      </c>
    </row>
    <row r="29" spans="2:12" ht="15.75" x14ac:dyDescent="0.25">
      <c r="B29" s="164">
        <f>H19</f>
        <v>5.2083333333333315E-2</v>
      </c>
      <c r="C29" s="141">
        <v>2.0833333333333332E-2</v>
      </c>
      <c r="D29" s="193">
        <f>C29+B29</f>
        <v>7.2916666666666644E-2</v>
      </c>
      <c r="E29" s="190"/>
      <c r="G29" s="255" t="s">
        <v>141</v>
      </c>
      <c r="H29" s="256"/>
      <c r="I29" s="162">
        <f>C34*22</f>
        <v>33</v>
      </c>
    </row>
    <row r="30" spans="2:12" ht="15.75" x14ac:dyDescent="0.25">
      <c r="B30" s="164">
        <f t="shared" ref="B30:B33" si="1">H20</f>
        <v>6.5972222222222154E-2</v>
      </c>
      <c r="C30" s="141">
        <v>2.0833333333333332E-2</v>
      </c>
      <c r="D30" s="193">
        <f t="shared" ref="D30:D33" si="2">C30+B30</f>
        <v>8.6805555555555483E-2</v>
      </c>
      <c r="E30" s="190"/>
      <c r="G30" s="255" t="s">
        <v>142</v>
      </c>
      <c r="H30" s="256"/>
      <c r="I30" s="162">
        <f>I28+I29</f>
        <v>108.9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5" t="s">
        <v>137</v>
      </c>
      <c r="H31" s="256"/>
      <c r="I31" s="162">
        <v>220</v>
      </c>
    </row>
    <row r="32" spans="2:12" ht="15.75" x14ac:dyDescent="0.25">
      <c r="B32" s="164">
        <f t="shared" si="1"/>
        <v>3.8194444444444531E-2</v>
      </c>
      <c r="C32" s="141">
        <v>2.0833333333333332E-2</v>
      </c>
      <c r="D32" s="193">
        <f t="shared" si="2"/>
        <v>5.902777777777786E-2</v>
      </c>
      <c r="E32" s="190"/>
      <c r="G32" s="255" t="s">
        <v>143</v>
      </c>
      <c r="H32" s="256"/>
      <c r="I32" s="162">
        <f>I30*0.25</f>
        <v>27.225000000000001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31" t="s">
        <v>133</v>
      </c>
      <c r="H33" s="232"/>
      <c r="I33" s="163">
        <f>((I30+I32)/I31)</f>
        <v>0.61875000000000002</v>
      </c>
    </row>
    <row r="34" spans="1:13" ht="16.5" thickBot="1" x14ac:dyDescent="0.3">
      <c r="B34" s="205">
        <v>3.45</v>
      </c>
      <c r="C34" s="206">
        <v>1.5</v>
      </c>
      <c r="D34" s="207">
        <f>SUM(B34:C34)</f>
        <v>4.95</v>
      </c>
      <c r="E34" s="190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194</v>
      </c>
      <c r="C39" s="298"/>
      <c r="D39" s="298"/>
      <c r="E39" s="299"/>
      <c r="F39" s="14"/>
      <c r="J39" s="182"/>
    </row>
    <row r="40" spans="1:13" ht="15.75" customHeight="1" x14ac:dyDescent="0.25">
      <c r="B40" s="244" t="s">
        <v>93</v>
      </c>
      <c r="C40" s="246"/>
      <c r="D40" s="245"/>
      <c r="E40" s="195">
        <v>28</v>
      </c>
      <c r="F40" s="14"/>
      <c r="J40" s="182"/>
    </row>
    <row r="41" spans="1:13" ht="15.75" customHeight="1" x14ac:dyDescent="0.25">
      <c r="B41" s="244" t="s">
        <v>88</v>
      </c>
      <c r="C41" s="246"/>
      <c r="D41" s="245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4" t="s">
        <v>180</v>
      </c>
      <c r="C42" s="246"/>
      <c r="D42" s="245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4" t="s">
        <v>91</v>
      </c>
      <c r="C43" s="246"/>
      <c r="D43" s="245"/>
      <c r="E43" s="158">
        <v>540156</v>
      </c>
      <c r="F43" s="60"/>
      <c r="J43" s="182"/>
    </row>
    <row r="44" spans="1:13" ht="15.75" customHeight="1" x14ac:dyDescent="0.25">
      <c r="B44" s="255" t="s">
        <v>122</v>
      </c>
      <c r="C44" s="256"/>
      <c r="D44" s="256"/>
      <c r="E44" s="159">
        <v>0.1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486140.4</v>
      </c>
      <c r="F45" s="14"/>
    </row>
    <row r="46" spans="1:13" ht="15.75" customHeight="1" x14ac:dyDescent="0.25">
      <c r="B46" s="255" t="s">
        <v>89</v>
      </c>
      <c r="C46" s="256"/>
      <c r="D46" s="256"/>
      <c r="E46" s="195" t="s">
        <v>94</v>
      </c>
      <c r="F46" s="14"/>
    </row>
    <row r="47" spans="1:13" ht="15.75" customHeight="1" x14ac:dyDescent="0.25">
      <c r="B47" s="255" t="s">
        <v>90</v>
      </c>
      <c r="C47" s="256"/>
      <c r="D47" s="256"/>
      <c r="E47" s="195" t="s">
        <v>95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89.437049999999999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110.16494999999999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28.78875</v>
      </c>
      <c r="J55" s="18"/>
      <c r="K55" s="18"/>
      <c r="L55" s="182"/>
      <c r="M55" s="182"/>
    </row>
    <row r="56" spans="2:13" ht="15.75" customHeight="1" x14ac:dyDescent="0.25">
      <c r="B56" s="85" t="s">
        <v>165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109.18400000000001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3.0707999999999998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4.7328704999999998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10.555875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11.259600000000001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15.226050000000001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7.0372499999999993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335.33135999999996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731.9285554999999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82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0.61875000000000002</v>
      </c>
      <c r="D76" s="132">
        <v>0.1</v>
      </c>
      <c r="E76" s="118">
        <f>E43</f>
        <v>540156</v>
      </c>
      <c r="F76" s="133">
        <f>E76*D76*C76</f>
        <v>33422.152500000004</v>
      </c>
      <c r="G76" s="134">
        <f>F76/12</f>
        <v>2785.1793750000002</v>
      </c>
      <c r="I76" s="182"/>
    </row>
    <row r="77" spans="2:12" ht="15.75" customHeight="1" x14ac:dyDescent="0.25">
      <c r="B77" s="125" t="s">
        <v>145</v>
      </c>
      <c r="C77" s="131">
        <f>C76</f>
        <v>0.61875000000000002</v>
      </c>
      <c r="D77" s="132">
        <v>0.02</v>
      </c>
      <c r="E77" s="118">
        <f>E45</f>
        <v>486140.4</v>
      </c>
      <c r="F77" s="133">
        <f>E77*D77*C77</f>
        <v>6015.9874500000005</v>
      </c>
      <c r="G77" s="134">
        <f>F77/12</f>
        <v>501.33228750000006</v>
      </c>
      <c r="H77" s="6"/>
      <c r="I77" s="182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3507.7258291666667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82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97" t="s">
        <v>83</v>
      </c>
      <c r="G81" s="136">
        <f>G66</f>
        <v>731.9285554999999</v>
      </c>
      <c r="H81" s="6"/>
      <c r="I81" s="182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95">
        <v>7.6</v>
      </c>
      <c r="E82" s="24"/>
      <c r="F82" s="181" t="s">
        <v>84</v>
      </c>
      <c r="G82" s="84">
        <f>G78</f>
        <v>3507.7258291666667</v>
      </c>
      <c r="H82" s="6"/>
      <c r="I82" s="182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95">
        <f>I12/D82</f>
        <v>336.71052631578948</v>
      </c>
      <c r="E83" s="24"/>
      <c r="F83" s="183" t="s">
        <v>85</v>
      </c>
      <c r="G83" s="84">
        <f>D84</f>
        <v>1895.6802631578948</v>
      </c>
      <c r="H83" s="6"/>
      <c r="I83" s="182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1895.6802631578948</v>
      </c>
      <c r="E84" s="75"/>
      <c r="F84" s="179" t="s">
        <v>159</v>
      </c>
      <c r="G84" s="90">
        <f>SUM(G81:G83)</f>
        <v>6135.3346478245612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5" t="s">
        <v>19</v>
      </c>
      <c r="C93" s="256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2595.1799999999998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124.27595148227998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673.56654512139323</v>
      </c>
      <c r="F144" s="182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182"/>
      <c r="G145" s="183" t="s">
        <v>160</v>
      </c>
      <c r="H145" s="84">
        <f>H104</f>
        <v>2601.2999999999997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-25.279939352849997</v>
      </c>
      <c r="F147" s="182"/>
      <c r="G147" s="183" t="s">
        <v>161</v>
      </c>
      <c r="H147" s="84">
        <f>E148</f>
        <v>1125.6822093527637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1125.6822093527637</v>
      </c>
      <c r="F148" s="182"/>
      <c r="G148" s="179" t="s">
        <v>159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12079.355397871301</v>
      </c>
      <c r="D155" s="94">
        <v>0.05</v>
      </c>
      <c r="E155" s="84">
        <f>C155*D155</f>
        <v>603.96776989356511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12683.323167764866</v>
      </c>
      <c r="D156" s="94">
        <v>0.1</v>
      </c>
      <c r="E156" s="84">
        <f>C156*D156</f>
        <v>1268.3323167764866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13951.655484541352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890.53120114093747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1947.6670049644624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2762.8312878109891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3819.967091634514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14842.186685682291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15899.322489505816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3677.86283909142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6135.3346478245612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2762.8312878109891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3819.967091634514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12576.028774726972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13633.164578550495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4.9144309397135491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5.3275359822393495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65.500149868369647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71.006065513283829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A4" zoomScale="120" zoomScaleNormal="120" workbookViewId="0">
      <selection activeCell="C4" sqref="C4:I4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182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8"/>
      <c r="C8" s="8"/>
      <c r="D8" s="8"/>
      <c r="E8" s="8"/>
      <c r="F8" s="8"/>
      <c r="G8" s="8"/>
      <c r="H8" s="8"/>
      <c r="I8" s="6"/>
    </row>
    <row r="9" spans="1:9" ht="15.75" x14ac:dyDescent="0.25">
      <c r="B9" s="318" t="s">
        <v>0</v>
      </c>
      <c r="C9" s="319"/>
      <c r="D9" s="174" t="s">
        <v>183</v>
      </c>
      <c r="F9" s="318" t="s">
        <v>3</v>
      </c>
      <c r="G9" s="319"/>
      <c r="H9" s="319"/>
      <c r="I9" s="143">
        <f>28*3</f>
        <v>84</v>
      </c>
    </row>
    <row r="10" spans="1:9" ht="15.75" x14ac:dyDescent="0.25">
      <c r="B10" s="320" t="s">
        <v>1</v>
      </c>
      <c r="C10" s="321"/>
      <c r="D10" s="119">
        <v>204</v>
      </c>
      <c r="F10" s="320" t="s">
        <v>71</v>
      </c>
      <c r="G10" s="321"/>
      <c r="H10" s="321"/>
      <c r="I10" s="175">
        <f>I12/I11</f>
        <v>92.63636363636364</v>
      </c>
    </row>
    <row r="11" spans="1:9" ht="15.75" x14ac:dyDescent="0.25">
      <c r="B11" s="320" t="s">
        <v>75</v>
      </c>
      <c r="C11" s="321"/>
      <c r="D11" s="119">
        <v>10</v>
      </c>
      <c r="F11" s="320" t="s">
        <v>2</v>
      </c>
      <c r="G11" s="321"/>
      <c r="H11" s="321"/>
      <c r="I11" s="119">
        <v>22</v>
      </c>
    </row>
    <row r="12" spans="1:9" ht="15.75" x14ac:dyDescent="0.25">
      <c r="B12" s="320" t="s">
        <v>2</v>
      </c>
      <c r="C12" s="321"/>
      <c r="D12" s="119">
        <v>22</v>
      </c>
      <c r="F12" s="320" t="s">
        <v>72</v>
      </c>
      <c r="G12" s="321"/>
      <c r="H12" s="321"/>
      <c r="I12" s="119">
        <v>2038</v>
      </c>
    </row>
    <row r="13" spans="1:9" ht="16.5" thickBot="1" x14ac:dyDescent="0.3">
      <c r="B13" s="11"/>
      <c r="C13" s="256"/>
      <c r="D13" s="338"/>
      <c r="E13" s="9"/>
      <c r="F13" s="217" t="s">
        <v>73</v>
      </c>
      <c r="G13" s="218"/>
      <c r="H13" s="218"/>
      <c r="I13" s="116">
        <f>I12*D11</f>
        <v>20380</v>
      </c>
    </row>
    <row r="14" spans="1:9" ht="16.5" thickBot="1" x14ac:dyDescent="0.3">
      <c r="B14" s="12"/>
      <c r="C14" s="294"/>
      <c r="D14" s="317"/>
      <c r="E14" s="9"/>
      <c r="I14" s="1"/>
    </row>
    <row r="15" spans="1:9" ht="16.5" thickBot="1" x14ac:dyDescent="0.3">
      <c r="B15" s="8"/>
      <c r="C15" s="8"/>
      <c r="D15" s="8"/>
      <c r="E15" s="9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8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</row>
    <row r="19" spans="2:12" ht="15.75" x14ac:dyDescent="0.25">
      <c r="B19" s="312" t="s">
        <v>103</v>
      </c>
      <c r="C19" s="313"/>
      <c r="D19" s="308">
        <v>0.25</v>
      </c>
      <c r="E19" s="308"/>
      <c r="F19" s="308">
        <v>0.29166666666666669</v>
      </c>
      <c r="G19" s="308"/>
      <c r="H19" s="308">
        <f>F19-D19</f>
        <v>4.1666666666666685E-2</v>
      </c>
      <c r="I19" s="309"/>
    </row>
    <row r="20" spans="2:12" ht="15.75" x14ac:dyDescent="0.25">
      <c r="B20" s="306" t="s">
        <v>104</v>
      </c>
      <c r="C20" s="284"/>
      <c r="D20" s="307">
        <v>0.47916666666666669</v>
      </c>
      <c r="E20" s="307"/>
      <c r="F20" s="307">
        <v>0.52777777777777779</v>
      </c>
      <c r="G20" s="307"/>
      <c r="H20" s="308">
        <f t="shared" ref="H20:H24" si="0">F20-D20</f>
        <v>4.8611111111111105E-2</v>
      </c>
      <c r="I20" s="309"/>
    </row>
    <row r="21" spans="2:12" ht="15.75" x14ac:dyDescent="0.25">
      <c r="B21" s="312" t="s">
        <v>187</v>
      </c>
      <c r="C21" s="313"/>
      <c r="D21" s="314">
        <v>0.70833333333333337</v>
      </c>
      <c r="E21" s="315"/>
      <c r="F21" s="314">
        <v>0.77083333333333337</v>
      </c>
      <c r="G21" s="315"/>
      <c r="H21" s="308">
        <f t="shared" si="0"/>
        <v>6.25E-2</v>
      </c>
      <c r="I21" s="309"/>
    </row>
    <row r="22" spans="2:12" ht="15.75" x14ac:dyDescent="0.25">
      <c r="B22" s="306" t="s">
        <v>191</v>
      </c>
      <c r="C22" s="284"/>
      <c r="D22" s="307">
        <v>0.94791666666666663</v>
      </c>
      <c r="E22" s="307"/>
      <c r="F22" s="307">
        <v>0.98611111111111116</v>
      </c>
      <c r="G22" s="307"/>
      <c r="H22" s="308">
        <f t="shared" si="0"/>
        <v>3.8194444444444531E-2</v>
      </c>
      <c r="I22" s="309"/>
    </row>
    <row r="23" spans="2:12" ht="15.75" x14ac:dyDescent="0.25">
      <c r="B23" s="312"/>
      <c r="C23" s="313"/>
      <c r="D23" s="307"/>
      <c r="E23" s="307"/>
      <c r="F23" s="307"/>
      <c r="G23" s="307"/>
      <c r="H23" s="308">
        <f t="shared" ref="H23" si="1">F23-D23</f>
        <v>0</v>
      </c>
      <c r="I23" s="309"/>
    </row>
    <row r="24" spans="2:12" ht="15.75" x14ac:dyDescent="0.25">
      <c r="B24" s="306"/>
      <c r="C24" s="284"/>
      <c r="D24" s="307"/>
      <c r="E24" s="307"/>
      <c r="F24" s="307"/>
      <c r="G24" s="307"/>
      <c r="H24" s="308">
        <f t="shared" si="0"/>
        <v>0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0.19097222222222232</v>
      </c>
      <c r="I25" s="311"/>
      <c r="J25" s="6"/>
      <c r="L25">
        <f>60*4+35</f>
        <v>275</v>
      </c>
    </row>
    <row r="26" spans="2:12" ht="16.5" thickBot="1" x14ac:dyDescent="0.3">
      <c r="B26" s="8"/>
      <c r="C26" s="8"/>
      <c r="D26" s="8"/>
      <c r="E26" s="8"/>
      <c r="F26" s="8"/>
      <c r="G26" s="8"/>
      <c r="H26" s="61"/>
      <c r="I26" s="61"/>
      <c r="J26" s="6"/>
      <c r="L26">
        <f>L25/60</f>
        <v>4.583333333333333</v>
      </c>
    </row>
    <row r="27" spans="2:12" ht="16.5" thickBot="1" x14ac:dyDescent="0.3">
      <c r="B27" s="300" t="s">
        <v>144</v>
      </c>
      <c r="C27" s="301"/>
      <c r="D27" s="302"/>
      <c r="E27" s="8"/>
      <c r="G27" s="303" t="s">
        <v>133</v>
      </c>
      <c r="H27" s="304"/>
      <c r="I27" s="305"/>
    </row>
    <row r="28" spans="2:12" ht="16.5" thickBot="1" x14ac:dyDescent="0.3">
      <c r="B28" s="62" t="s">
        <v>138</v>
      </c>
      <c r="C28" s="63" t="s">
        <v>135</v>
      </c>
      <c r="D28" s="64" t="s">
        <v>139</v>
      </c>
      <c r="E28" s="8"/>
      <c r="G28" s="279" t="s">
        <v>140</v>
      </c>
      <c r="H28" s="280"/>
      <c r="I28" s="161">
        <f>B34*22</f>
        <v>100.76</v>
      </c>
    </row>
    <row r="29" spans="2:12" ht="15.75" x14ac:dyDescent="0.25">
      <c r="B29" s="164">
        <f>H19</f>
        <v>4.1666666666666685E-2</v>
      </c>
      <c r="C29" s="141"/>
      <c r="D29" s="142">
        <f>C29+B29</f>
        <v>4.1666666666666685E-2</v>
      </c>
      <c r="E29" s="8"/>
      <c r="G29" s="255" t="s">
        <v>141</v>
      </c>
      <c r="H29" s="256"/>
      <c r="I29" s="162">
        <f>C34*22</f>
        <v>0</v>
      </c>
    </row>
    <row r="30" spans="2:12" ht="15.75" x14ac:dyDescent="0.25">
      <c r="B30" s="164">
        <f t="shared" ref="B30:B33" si="2">H20</f>
        <v>4.8611111111111105E-2</v>
      </c>
      <c r="C30" s="141"/>
      <c r="D30" s="193">
        <f t="shared" ref="D30:D33" si="3">C30+B30</f>
        <v>4.8611111111111105E-2</v>
      </c>
      <c r="E30" s="8"/>
      <c r="G30" s="255" t="s">
        <v>142</v>
      </c>
      <c r="H30" s="256"/>
      <c r="I30" s="162">
        <f>I28+I29</f>
        <v>100.76</v>
      </c>
    </row>
    <row r="31" spans="2:12" ht="15.75" x14ac:dyDescent="0.25">
      <c r="B31" s="164">
        <f t="shared" si="2"/>
        <v>6.25E-2</v>
      </c>
      <c r="C31" s="141"/>
      <c r="D31" s="193">
        <f t="shared" si="3"/>
        <v>6.25E-2</v>
      </c>
      <c r="E31" s="8"/>
      <c r="G31" s="255" t="s">
        <v>137</v>
      </c>
      <c r="H31" s="256"/>
      <c r="I31" s="162">
        <v>220</v>
      </c>
    </row>
    <row r="32" spans="2:12" ht="15.75" x14ac:dyDescent="0.25">
      <c r="B32" s="164">
        <f t="shared" si="2"/>
        <v>3.8194444444444531E-2</v>
      </c>
      <c r="C32" s="141"/>
      <c r="D32" s="193">
        <f t="shared" si="3"/>
        <v>3.8194444444444531E-2</v>
      </c>
      <c r="E32" s="8"/>
      <c r="G32" s="255" t="s">
        <v>143</v>
      </c>
      <c r="H32" s="256"/>
      <c r="I32" s="162">
        <f>I30*0.25</f>
        <v>25.19</v>
      </c>
    </row>
    <row r="33" spans="1:13" ht="16.5" thickBot="1" x14ac:dyDescent="0.3">
      <c r="B33" s="164">
        <f t="shared" si="2"/>
        <v>0</v>
      </c>
      <c r="C33" s="141"/>
      <c r="D33" s="193">
        <f t="shared" si="3"/>
        <v>0</v>
      </c>
      <c r="E33" s="8"/>
      <c r="G33" s="231" t="s">
        <v>133</v>
      </c>
      <c r="H33" s="232"/>
      <c r="I33" s="163">
        <f>((I30+I32)/I31)</f>
        <v>0.57250000000000001</v>
      </c>
    </row>
    <row r="34" spans="1:13" ht="16.5" thickBot="1" x14ac:dyDescent="0.3">
      <c r="B34" s="205">
        <v>4.58</v>
      </c>
      <c r="C34" s="206"/>
      <c r="D34" s="207">
        <f>SUM(B34:C34)</f>
        <v>4.58</v>
      </c>
      <c r="E34" s="8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194</v>
      </c>
      <c r="C39" s="298"/>
      <c r="D39" s="298"/>
      <c r="E39" s="299"/>
      <c r="F39" s="14"/>
      <c r="J39" s="15"/>
    </row>
    <row r="40" spans="1:13" ht="15.75" customHeight="1" x14ac:dyDescent="0.25">
      <c r="B40" s="244" t="s">
        <v>93</v>
      </c>
      <c r="C40" s="246"/>
      <c r="D40" s="245"/>
      <c r="E40" s="156">
        <v>28</v>
      </c>
      <c r="F40" s="14"/>
      <c r="J40" s="15"/>
    </row>
    <row r="41" spans="1:13" ht="15.75" customHeight="1" x14ac:dyDescent="0.25">
      <c r="B41" s="244" t="s">
        <v>88</v>
      </c>
      <c r="C41" s="246"/>
      <c r="D41" s="245"/>
      <c r="E41" s="156" t="s">
        <v>70</v>
      </c>
      <c r="F41" s="14"/>
      <c r="G41" s="30"/>
      <c r="H41" s="30"/>
      <c r="I41" s="30"/>
      <c r="J41" s="15"/>
    </row>
    <row r="42" spans="1:13" ht="15.75" customHeight="1" x14ac:dyDescent="0.25">
      <c r="B42" s="244" t="s">
        <v>180</v>
      </c>
      <c r="C42" s="246"/>
      <c r="D42" s="245"/>
      <c r="E42" s="156">
        <v>2022</v>
      </c>
      <c r="F42" s="16"/>
      <c r="G42" s="30"/>
      <c r="H42" s="30"/>
      <c r="I42" s="30"/>
      <c r="J42" s="15"/>
    </row>
    <row r="43" spans="1:13" ht="15.75" customHeight="1" x14ac:dyDescent="0.25">
      <c r="B43" s="244" t="s">
        <v>91</v>
      </c>
      <c r="C43" s="246"/>
      <c r="D43" s="245"/>
      <c r="E43" s="158">
        <v>494300</v>
      </c>
      <c r="F43" s="60"/>
      <c r="J43" s="15"/>
    </row>
    <row r="44" spans="1:13" ht="15.75" customHeight="1" x14ac:dyDescent="0.25">
      <c r="B44" s="255" t="s">
        <v>122</v>
      </c>
      <c r="C44" s="256"/>
      <c r="D44" s="256"/>
      <c r="E44" s="159">
        <v>0.1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444870</v>
      </c>
      <c r="F45" s="14"/>
    </row>
    <row r="46" spans="1:13" ht="15.75" customHeight="1" x14ac:dyDescent="0.25">
      <c r="B46" s="255" t="s">
        <v>89</v>
      </c>
      <c r="C46" s="256"/>
      <c r="D46" s="256"/>
      <c r="E46" s="156" t="s">
        <v>94</v>
      </c>
      <c r="F46" s="14"/>
    </row>
    <row r="47" spans="1:13" ht="15.75" customHeight="1" x14ac:dyDescent="0.25">
      <c r="B47" s="255" t="s">
        <v>90</v>
      </c>
      <c r="C47" s="256"/>
      <c r="D47" s="256"/>
      <c r="E47" s="156" t="s">
        <v>95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87">
        <v>1</v>
      </c>
      <c r="E53" s="83">
        <v>699</v>
      </c>
      <c r="F53" s="83">
        <f>E53*D53</f>
        <v>699</v>
      </c>
      <c r="G53" s="84">
        <f>F53/C53*I12</f>
        <v>71.228099999999998</v>
      </c>
    </row>
    <row r="54" spans="2:13" ht="15.75" customHeight="1" x14ac:dyDescent="0.25">
      <c r="B54" s="85" t="s">
        <v>108</v>
      </c>
      <c r="C54" s="86">
        <v>20000</v>
      </c>
      <c r="D54" s="87">
        <v>12</v>
      </c>
      <c r="E54" s="151">
        <v>71.75</v>
      </c>
      <c r="F54" s="83">
        <f t="shared" ref="F54:F64" si="4">E54*D54</f>
        <v>861</v>
      </c>
      <c r="G54" s="84">
        <f>F54/C54*I12</f>
        <v>87.735900000000001</v>
      </c>
    </row>
    <row r="55" spans="2:13" ht="15.75" customHeight="1" x14ac:dyDescent="0.25">
      <c r="B55" s="85" t="s">
        <v>114</v>
      </c>
      <c r="C55" s="86">
        <v>20000</v>
      </c>
      <c r="D55" s="87">
        <v>1</v>
      </c>
      <c r="E55" s="83">
        <v>225</v>
      </c>
      <c r="F55" s="83">
        <f t="shared" si="4"/>
        <v>225</v>
      </c>
      <c r="G55" s="84">
        <f>F55/C55*I12</f>
        <v>22.927499999999998</v>
      </c>
      <c r="J55" s="18"/>
      <c r="K55" s="18"/>
      <c r="L55" s="15"/>
      <c r="M55" s="15"/>
    </row>
    <row r="56" spans="2:13" ht="15.75" customHeight="1" x14ac:dyDescent="0.25">
      <c r="B56" s="85" t="s">
        <v>165</v>
      </c>
      <c r="C56" s="86">
        <v>60000</v>
      </c>
      <c r="D56" s="87">
        <v>4</v>
      </c>
      <c r="E56" s="83">
        <v>64</v>
      </c>
      <c r="F56" s="83">
        <f t="shared" si="4"/>
        <v>256</v>
      </c>
      <c r="G56" s="84">
        <f>F56/C56*I13</f>
        <v>86.954666666666668</v>
      </c>
      <c r="J56" s="18"/>
      <c r="K56" s="18"/>
      <c r="L56" s="76"/>
      <c r="M56" s="76"/>
    </row>
    <row r="57" spans="2:13" ht="15.75" customHeight="1" x14ac:dyDescent="0.25">
      <c r="B57" s="85" t="s">
        <v>113</v>
      </c>
      <c r="C57" s="86">
        <v>60000</v>
      </c>
      <c r="D57" s="87">
        <v>2</v>
      </c>
      <c r="E57" s="83">
        <v>36</v>
      </c>
      <c r="F57" s="83">
        <f t="shared" si="4"/>
        <v>72</v>
      </c>
      <c r="G57" s="84">
        <f>F57/C57*I12</f>
        <v>2.4455999999999998</v>
      </c>
      <c r="J57" s="18"/>
      <c r="K57" s="18"/>
      <c r="L57" s="15"/>
      <c r="M57" s="15"/>
    </row>
    <row r="58" spans="2:13" ht="15.75" customHeight="1" x14ac:dyDescent="0.25">
      <c r="B58" s="139" t="s">
        <v>125</v>
      </c>
      <c r="C58" s="86">
        <v>40000</v>
      </c>
      <c r="D58" s="87">
        <v>2</v>
      </c>
      <c r="E58" s="83">
        <v>36.99</v>
      </c>
      <c r="F58" s="83">
        <f t="shared" si="4"/>
        <v>73.98</v>
      </c>
      <c r="G58" s="84">
        <f>F58/C58*I12</f>
        <v>3.7692809999999999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8.4067500000000006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87">
        <v>2</v>
      </c>
      <c r="E61" s="83">
        <v>44</v>
      </c>
      <c r="F61" s="83">
        <f t="shared" si="4"/>
        <v>88</v>
      </c>
      <c r="G61" s="84">
        <f>F61/C61*I12</f>
        <v>8.9672000000000001</v>
      </c>
      <c r="J61" s="18"/>
    </row>
    <row r="62" spans="2:13" ht="15.75" customHeight="1" x14ac:dyDescent="0.25">
      <c r="B62" s="85" t="s">
        <v>109</v>
      </c>
      <c r="C62" s="86">
        <v>60000</v>
      </c>
      <c r="D62" s="87">
        <v>1</v>
      </c>
      <c r="E62" s="83">
        <v>357</v>
      </c>
      <c r="F62" s="83">
        <f t="shared" si="4"/>
        <v>357</v>
      </c>
      <c r="G62" s="84">
        <f>F62/C62*I12</f>
        <v>12.126100000000001</v>
      </c>
      <c r="J62" s="18"/>
    </row>
    <row r="63" spans="2:13" ht="15.75" customHeight="1" x14ac:dyDescent="0.25">
      <c r="B63" s="85" t="s">
        <v>110</v>
      </c>
      <c r="C63" s="86">
        <v>20000</v>
      </c>
      <c r="D63" s="87">
        <v>1</v>
      </c>
      <c r="E63" s="83">
        <v>55</v>
      </c>
      <c r="F63" s="83">
        <f t="shared" si="4"/>
        <v>55</v>
      </c>
      <c r="G63" s="84">
        <f>F63/C63*I12</f>
        <v>5.6044999999999998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87">
        <v>4</v>
      </c>
      <c r="E64" s="151">
        <v>819</v>
      </c>
      <c r="F64" s="83">
        <f t="shared" si="4"/>
        <v>3276</v>
      </c>
      <c r="G64" s="84">
        <f>F64/C64*I12</f>
        <v>267.05951999999996</v>
      </c>
      <c r="H64" s="14"/>
      <c r="J64" s="18"/>
      <c r="K64" s="18"/>
    </row>
    <row r="65" spans="2:12" ht="15.75" customHeight="1" x14ac:dyDescent="0.25">
      <c r="B65" s="85" t="s">
        <v>120</v>
      </c>
      <c r="C65" s="87" t="s">
        <v>121</v>
      </c>
      <c r="D65" s="87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584.36511766666661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5"/>
      <c r="I67" s="15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5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5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5"/>
      <c r="J70" s="18"/>
      <c r="K70" s="18"/>
    </row>
    <row r="71" spans="2:12" ht="15.75" customHeight="1" x14ac:dyDescent="0.25">
      <c r="B71" s="125" t="s">
        <v>11</v>
      </c>
      <c r="C71" s="126">
        <v>0</v>
      </c>
      <c r="D71" s="127">
        <v>1</v>
      </c>
      <c r="E71" s="97">
        <v>10.57</v>
      </c>
      <c r="F71" s="128">
        <f>E71</f>
        <v>10.57</v>
      </c>
      <c r="G71" s="105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26">
        <v>0</v>
      </c>
      <c r="D72" s="129">
        <v>1</v>
      </c>
      <c r="E72" s="83">
        <v>0</v>
      </c>
      <c r="F72" s="129">
        <v>0</v>
      </c>
      <c r="G72" s="119">
        <v>0</v>
      </c>
      <c r="I72" s="15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5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5"/>
      <c r="I74" s="15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5"/>
    </row>
    <row r="76" spans="2:12" ht="15.75" customHeight="1" x14ac:dyDescent="0.25">
      <c r="B76" s="125" t="s">
        <v>132</v>
      </c>
      <c r="C76" s="131">
        <f>I33</f>
        <v>0.57250000000000001</v>
      </c>
      <c r="D76" s="132">
        <v>0.1</v>
      </c>
      <c r="E76" s="118">
        <f>E43</f>
        <v>494300</v>
      </c>
      <c r="F76" s="133">
        <f>E76*D76*C76</f>
        <v>28298.674999999999</v>
      </c>
      <c r="G76" s="134">
        <f>F76/12</f>
        <v>2358.2229166666666</v>
      </c>
      <c r="I76" s="15"/>
    </row>
    <row r="77" spans="2:12" ht="15.75" customHeight="1" x14ac:dyDescent="0.25">
      <c r="B77" s="125" t="s">
        <v>145</v>
      </c>
      <c r="C77" s="131">
        <f>C76</f>
        <v>0.57250000000000001</v>
      </c>
      <c r="D77" s="132">
        <v>0.02</v>
      </c>
      <c r="E77" s="118">
        <f>E45</f>
        <v>444870</v>
      </c>
      <c r="F77" s="133">
        <f>E77*D77*C77</f>
        <v>5093.7614999999996</v>
      </c>
      <c r="G77" s="134">
        <f>F77/12</f>
        <v>424.48012499999999</v>
      </c>
      <c r="H77" s="6"/>
      <c r="I77" s="15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3003.9172083333333</v>
      </c>
      <c r="H78" s="6"/>
      <c r="I78" s="15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5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5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35" t="s">
        <v>83</v>
      </c>
      <c r="G81" s="136">
        <f>G66</f>
        <v>584.36511766666661</v>
      </c>
      <c r="H81" s="6"/>
      <c r="I81" s="15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56">
        <v>7.6</v>
      </c>
      <c r="E82" s="24"/>
      <c r="F82" s="137" t="s">
        <v>84</v>
      </c>
      <c r="G82" s="84">
        <f>G78</f>
        <v>3003.9172083333333</v>
      </c>
      <c r="H82" s="6"/>
      <c r="I82" s="15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56">
        <f>I12/D82</f>
        <v>268.15789473684214</v>
      </c>
      <c r="E83" s="24"/>
      <c r="F83" s="93" t="s">
        <v>85</v>
      </c>
      <c r="G83" s="84">
        <f>D84</f>
        <v>1509.7289473684211</v>
      </c>
      <c r="H83" s="6"/>
      <c r="I83" s="15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1509.7289473684211</v>
      </c>
      <c r="E84" s="75"/>
      <c r="F84" s="95" t="s">
        <v>159</v>
      </c>
      <c r="G84" s="90">
        <f>SUM(G81:G83)</f>
        <v>5098.0112733684209</v>
      </c>
      <c r="H84" s="6"/>
      <c r="I84" s="15"/>
      <c r="J84" s="6"/>
      <c r="K84" s="22"/>
      <c r="L84" s="6"/>
    </row>
    <row r="85" spans="2:12" ht="15.75" customHeight="1" thickBot="1" x14ac:dyDescent="0.3">
      <c r="F85" s="14"/>
      <c r="G85" s="18"/>
      <c r="H85" s="15"/>
      <c r="I85" s="15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2595.1799999999998</v>
      </c>
      <c r="E91" s="87"/>
      <c r="F91" s="119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87"/>
      <c r="F92" s="119"/>
      <c r="G92" s="14"/>
      <c r="H92" s="14"/>
      <c r="I92" s="14"/>
    </row>
    <row r="93" spans="2:12" ht="15.75" x14ac:dyDescent="0.25">
      <c r="B93" s="255" t="s">
        <v>19</v>
      </c>
      <c r="C93" s="256"/>
      <c r="D93" s="120">
        <v>8.3333333333333329E-2</v>
      </c>
      <c r="E93" s="87" t="s">
        <v>28</v>
      </c>
      <c r="F93" s="121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23" t="s">
        <v>27</v>
      </c>
      <c r="F94" s="124"/>
      <c r="G94" s="14"/>
      <c r="H94" s="14"/>
      <c r="I94" s="14"/>
    </row>
    <row r="95" spans="2:12" ht="16.5" thickBot="1" x14ac:dyDescent="0.3">
      <c r="B95" s="68" t="s">
        <v>21</v>
      </c>
      <c r="C95" s="69" t="s">
        <v>24</v>
      </c>
      <c r="D95" s="69" t="s">
        <v>25</v>
      </c>
      <c r="E95" s="69" t="s">
        <v>26</v>
      </c>
      <c r="F95" s="70"/>
      <c r="G95" s="14"/>
      <c r="H95" s="14"/>
      <c r="I95" s="14"/>
    </row>
    <row r="96" spans="2:12" ht="15.75" x14ac:dyDescent="0.25">
      <c r="B96" s="110" t="s">
        <v>22</v>
      </c>
      <c r="C96" s="11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13" t="s">
        <v>23</v>
      </c>
      <c r="C97" s="114">
        <v>1</v>
      </c>
      <c r="D97" s="167">
        <v>128.68</v>
      </c>
      <c r="E97" s="115">
        <v>0.2</v>
      </c>
      <c r="F97" s="116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2595.1799999999998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9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06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105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04" t="s">
        <v>38</v>
      </c>
      <c r="E132" s="104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87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124.27595148227998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87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673.56654512139323</v>
      </c>
      <c r="F144" s="23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23"/>
      <c r="G145" s="93" t="s">
        <v>160</v>
      </c>
      <c r="H145" s="84">
        <f>H104</f>
        <v>2601.2999999999997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-25.279939352849997</v>
      </c>
      <c r="F146" s="23"/>
      <c r="G146" s="9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-25.279939352849997</v>
      </c>
      <c r="F147" s="23"/>
      <c r="G147" s="93" t="s">
        <v>161</v>
      </c>
      <c r="H147" s="84">
        <f>E148</f>
        <v>1125.6822093527637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1125.6822093527637</v>
      </c>
      <c r="F148" s="23"/>
      <c r="G148" s="95" t="s">
        <v>159</v>
      </c>
      <c r="H148" s="157">
        <f>SUM(H145:H147)</f>
        <v>5944.0207500467395</v>
      </c>
      <c r="I148" s="14"/>
    </row>
    <row r="149" spans="1:12" ht="15.75" x14ac:dyDescent="0.25">
      <c r="A149" s="1"/>
      <c r="B149" s="79"/>
      <c r="C149" s="79"/>
      <c r="D149" s="79"/>
      <c r="E149" s="33"/>
      <c r="F149" s="78"/>
      <c r="G149" s="79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23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17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82"/>
      <c r="K154" s="82"/>
      <c r="L154" s="82"/>
    </row>
    <row r="155" spans="1:12" ht="15.75" x14ac:dyDescent="0.25">
      <c r="B155" s="100" t="s">
        <v>65</v>
      </c>
      <c r="C155" s="83">
        <f>H148+G84</f>
        <v>11042.03202341516</v>
      </c>
      <c r="D155" s="94">
        <v>0.05</v>
      </c>
      <c r="E155" s="84">
        <f>C155*D155</f>
        <v>552.10160117075804</v>
      </c>
      <c r="F155" s="14"/>
      <c r="G155" s="6"/>
      <c r="H155" s="49"/>
      <c r="I155" s="80"/>
      <c r="J155" s="148"/>
      <c r="K155" s="149"/>
      <c r="L155" s="148"/>
    </row>
    <row r="156" spans="1:12" ht="15.75" x14ac:dyDescent="0.25">
      <c r="B156" s="100" t="s">
        <v>66</v>
      </c>
      <c r="C156" s="83">
        <f>C155+E155</f>
        <v>11594.133624585918</v>
      </c>
      <c r="D156" s="94">
        <v>0.1</v>
      </c>
      <c r="E156" s="84">
        <f>C156*D156</f>
        <v>1159.4133624585918</v>
      </c>
      <c r="F156" s="14"/>
      <c r="G156" s="6"/>
      <c r="H156" s="49"/>
      <c r="I156" s="80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12753.54698704451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814.05619066241559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1780.4096933480939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2525.5711542917652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3491.9246569774441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13567.603177706927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14533.956680392605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3402.9518794017586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5098.0112733684209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2525.5711542917652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3491.9246569774441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11026.534307061944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11992.887809747623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5.4104682566545357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5.88463582421375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131.26826556026123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142.77247392556694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51:I151"/>
    <mergeCell ref="B160:C160"/>
    <mergeCell ref="B161:D161"/>
    <mergeCell ref="F104:G104"/>
    <mergeCell ref="F99:H99"/>
    <mergeCell ref="B148:D148"/>
    <mergeCell ref="B145:E145"/>
    <mergeCell ref="B146:C146"/>
    <mergeCell ref="B138:E138"/>
    <mergeCell ref="B140:C140"/>
    <mergeCell ref="B141:C141"/>
    <mergeCell ref="B142:C142"/>
    <mergeCell ref="D142:D143"/>
    <mergeCell ref="E142:E143"/>
    <mergeCell ref="B143:C143"/>
    <mergeCell ref="B133:C133"/>
    <mergeCell ref="B134:C134"/>
    <mergeCell ref="B135:C135"/>
    <mergeCell ref="D135:D136"/>
    <mergeCell ref="E135:E136"/>
    <mergeCell ref="B136:C136"/>
    <mergeCell ref="B128:D128"/>
    <mergeCell ref="B130:E130"/>
    <mergeCell ref="B131:E131"/>
    <mergeCell ref="F100:G100"/>
    <mergeCell ref="B99:D99"/>
    <mergeCell ref="B100:C100"/>
    <mergeCell ref="B101:C101"/>
    <mergeCell ref="B102:C102"/>
    <mergeCell ref="B103:C103"/>
    <mergeCell ref="B22:C22"/>
    <mergeCell ref="D22:E22"/>
    <mergeCell ref="B88:F88"/>
    <mergeCell ref="B89:C89"/>
    <mergeCell ref="D89:F89"/>
    <mergeCell ref="B48:D48"/>
    <mergeCell ref="B45:D45"/>
    <mergeCell ref="B46:D46"/>
    <mergeCell ref="B47:D47"/>
    <mergeCell ref="B44:D44"/>
    <mergeCell ref="B41:D41"/>
    <mergeCell ref="B42:D42"/>
    <mergeCell ref="B43:D43"/>
    <mergeCell ref="B38:E38"/>
    <mergeCell ref="B39:E39"/>
    <mergeCell ref="B40:D40"/>
    <mergeCell ref="F80:G80"/>
    <mergeCell ref="F59:F60"/>
    <mergeCell ref="B86:I86"/>
    <mergeCell ref="B90:C90"/>
    <mergeCell ref="D90:F90"/>
    <mergeCell ref="B91:C91"/>
    <mergeCell ref="B92:C92"/>
    <mergeCell ref="B93:C93"/>
    <mergeCell ref="B94:C94"/>
    <mergeCell ref="B82:C82"/>
    <mergeCell ref="B83:C83"/>
    <mergeCell ref="B84:C84"/>
    <mergeCell ref="B80:D80"/>
    <mergeCell ref="B81:C81"/>
    <mergeCell ref="B66:F66"/>
    <mergeCell ref="B68:G68"/>
    <mergeCell ref="B78:F78"/>
    <mergeCell ref="B69:B70"/>
    <mergeCell ref="B19:C19"/>
    <mergeCell ref="D19:E19"/>
    <mergeCell ref="F19:G19"/>
    <mergeCell ref="H19:I19"/>
    <mergeCell ref="B36:I36"/>
    <mergeCell ref="F20:G20"/>
    <mergeCell ref="H20:I20"/>
    <mergeCell ref="F24:G24"/>
    <mergeCell ref="H24:I24"/>
    <mergeCell ref="H22:I22"/>
    <mergeCell ref="H25:I25"/>
    <mergeCell ref="B20:C20"/>
    <mergeCell ref="D20:E20"/>
    <mergeCell ref="B24:C24"/>
    <mergeCell ref="D24:E24"/>
    <mergeCell ref="B21:C21"/>
    <mergeCell ref="B25:G25"/>
    <mergeCell ref="B27:D27"/>
    <mergeCell ref="G27:I27"/>
    <mergeCell ref="G28:H28"/>
    <mergeCell ref="F21:G21"/>
    <mergeCell ref="H21:I21"/>
    <mergeCell ref="F22:G22"/>
    <mergeCell ref="D21:E21"/>
    <mergeCell ref="B23:C23"/>
    <mergeCell ref="D23:E23"/>
    <mergeCell ref="F23:G23"/>
    <mergeCell ref="H17:I17"/>
    <mergeCell ref="B18:C18"/>
    <mergeCell ref="D18:E18"/>
    <mergeCell ref="F18:G18"/>
    <mergeCell ref="H18:I18"/>
    <mergeCell ref="B7:I7"/>
    <mergeCell ref="B9:C9"/>
    <mergeCell ref="F9:H9"/>
    <mergeCell ref="B10:C10"/>
    <mergeCell ref="F10:H10"/>
    <mergeCell ref="B1:B2"/>
    <mergeCell ref="C1:I1"/>
    <mergeCell ref="C2:I2"/>
    <mergeCell ref="B4:B5"/>
    <mergeCell ref="C4:I4"/>
    <mergeCell ref="C5:I5"/>
    <mergeCell ref="C59:C60"/>
    <mergeCell ref="D59:D60"/>
    <mergeCell ref="E59:E60"/>
    <mergeCell ref="B12:C12"/>
    <mergeCell ref="F12:H12"/>
    <mergeCell ref="C13:D13"/>
    <mergeCell ref="F13:H13"/>
    <mergeCell ref="C14:D14"/>
    <mergeCell ref="B16:I16"/>
    <mergeCell ref="G29:H29"/>
    <mergeCell ref="G31:H31"/>
    <mergeCell ref="G32:H32"/>
    <mergeCell ref="G33:H33"/>
    <mergeCell ref="F34:G34"/>
    <mergeCell ref="G30:H30"/>
    <mergeCell ref="B50:G50"/>
    <mergeCell ref="B11:C11"/>
    <mergeCell ref="F11:H11"/>
    <mergeCell ref="B147:D147"/>
    <mergeCell ref="B112:E112"/>
    <mergeCell ref="B106:E106"/>
    <mergeCell ref="B107:E107"/>
    <mergeCell ref="F101:G101"/>
    <mergeCell ref="F102:G102"/>
    <mergeCell ref="F103:G103"/>
    <mergeCell ref="B119:C119"/>
    <mergeCell ref="B120:C120"/>
    <mergeCell ref="B121:C121"/>
    <mergeCell ref="B122:C122"/>
    <mergeCell ref="B123:C123"/>
    <mergeCell ref="B114:C114"/>
    <mergeCell ref="B115:C115"/>
    <mergeCell ref="B116:C116"/>
    <mergeCell ref="B109:C109"/>
    <mergeCell ref="B111:D111"/>
    <mergeCell ref="B117:C117"/>
    <mergeCell ref="B118:C118"/>
    <mergeCell ref="B127:D127"/>
    <mergeCell ref="B124:E124"/>
    <mergeCell ref="B125:D125"/>
    <mergeCell ref="B126:D126"/>
    <mergeCell ref="B108:C108"/>
    <mergeCell ref="H23:I23"/>
    <mergeCell ref="B172:D172"/>
    <mergeCell ref="B173:D173"/>
    <mergeCell ref="B174:D174"/>
    <mergeCell ref="B175:D175"/>
    <mergeCell ref="B176:D176"/>
    <mergeCell ref="B162:D162"/>
    <mergeCell ref="B163:D163"/>
    <mergeCell ref="B164:D164"/>
    <mergeCell ref="B166:E166"/>
    <mergeCell ref="B167:D167"/>
    <mergeCell ref="B168:D168"/>
    <mergeCell ref="B169:D169"/>
    <mergeCell ref="B170:D170"/>
    <mergeCell ref="B171:D171"/>
    <mergeCell ref="B153:E153"/>
    <mergeCell ref="B157:D157"/>
    <mergeCell ref="B158:E158"/>
    <mergeCell ref="B159:C159"/>
    <mergeCell ref="H66:I66"/>
    <mergeCell ref="G59:G60"/>
    <mergeCell ref="G144:H144"/>
    <mergeCell ref="B137:D137"/>
    <mergeCell ref="B144:D144"/>
  </mergeCells>
  <phoneticPr fontId="13" type="noConversion"/>
  <pageMargins left="0.7" right="0.7" top="0.75" bottom="0.75" header="0.3" footer="0.3"/>
  <pageSetup paperSize="9" scale="52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zoomScale="120" zoomScaleNormal="120" workbookViewId="0">
      <selection activeCell="C5" sqref="C5:I5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212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8" t="s">
        <v>0</v>
      </c>
      <c r="C9" s="319"/>
      <c r="D9" s="198" t="s">
        <v>183</v>
      </c>
      <c r="F9" s="318" t="s">
        <v>3</v>
      </c>
      <c r="G9" s="319"/>
      <c r="H9" s="319"/>
      <c r="I9" s="143">
        <f>28*3</f>
        <v>84</v>
      </c>
    </row>
    <row r="10" spans="1:9" ht="15.75" x14ac:dyDescent="0.25">
      <c r="B10" s="320" t="s">
        <v>1</v>
      </c>
      <c r="C10" s="321"/>
      <c r="D10" s="187">
        <v>204</v>
      </c>
      <c r="F10" s="320" t="s">
        <v>71</v>
      </c>
      <c r="G10" s="321"/>
      <c r="H10" s="321"/>
      <c r="I10" s="175">
        <f>I12/I11</f>
        <v>66.430000000000007</v>
      </c>
    </row>
    <row r="11" spans="1:9" ht="15.75" x14ac:dyDescent="0.25">
      <c r="B11" s="320" t="s">
        <v>75</v>
      </c>
      <c r="C11" s="321"/>
      <c r="D11" s="187">
        <v>10</v>
      </c>
      <c r="F11" s="320" t="s">
        <v>2</v>
      </c>
      <c r="G11" s="321"/>
      <c r="H11" s="321"/>
      <c r="I11" s="187">
        <v>22</v>
      </c>
    </row>
    <row r="12" spans="1:9" ht="15.75" x14ac:dyDescent="0.25">
      <c r="B12" s="320" t="s">
        <v>2</v>
      </c>
      <c r="C12" s="321"/>
      <c r="D12" s="187">
        <v>22</v>
      </c>
      <c r="F12" s="320" t="s">
        <v>72</v>
      </c>
      <c r="G12" s="321"/>
      <c r="H12" s="321"/>
      <c r="I12" s="187">
        <v>1461.46</v>
      </c>
    </row>
    <row r="13" spans="1:9" ht="16.5" thickBot="1" x14ac:dyDescent="0.3">
      <c r="B13" s="186"/>
      <c r="C13" s="256"/>
      <c r="D13" s="338"/>
      <c r="E13" s="182"/>
      <c r="F13" s="217" t="s">
        <v>73</v>
      </c>
      <c r="G13" s="218"/>
      <c r="H13" s="218"/>
      <c r="I13" s="189">
        <f>I12*D11</f>
        <v>14614.6</v>
      </c>
    </row>
    <row r="14" spans="1:9" ht="16.5" thickBot="1" x14ac:dyDescent="0.3">
      <c r="B14" s="178"/>
      <c r="C14" s="294"/>
      <c r="D14" s="317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190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  <c r="L18">
        <f>80/60</f>
        <v>1.3333333333333333</v>
      </c>
    </row>
    <row r="19" spans="2:12" ht="15.75" x14ac:dyDescent="0.25">
      <c r="B19" s="312" t="s">
        <v>192</v>
      </c>
      <c r="C19" s="313"/>
      <c r="D19" s="308">
        <v>0.76041666666666663</v>
      </c>
      <c r="E19" s="308"/>
      <c r="F19" s="308">
        <v>0.8125</v>
      </c>
      <c r="G19" s="308"/>
      <c r="H19" s="308">
        <f>F19-D19</f>
        <v>5.208333333333337E-2</v>
      </c>
      <c r="I19" s="309"/>
    </row>
    <row r="20" spans="2:12" ht="15.75" x14ac:dyDescent="0.25">
      <c r="B20" s="306" t="s">
        <v>193</v>
      </c>
      <c r="C20" s="284"/>
      <c r="D20" s="307">
        <v>0.9375</v>
      </c>
      <c r="E20" s="307"/>
      <c r="F20" s="307">
        <v>0.98611111111111116</v>
      </c>
      <c r="G20" s="307"/>
      <c r="H20" s="308">
        <f t="shared" ref="H20:H24" si="0">F20-D20</f>
        <v>4.861111111111116E-2</v>
      </c>
      <c r="I20" s="309"/>
    </row>
    <row r="21" spans="2:12" ht="15.75" x14ac:dyDescent="0.25">
      <c r="B21" s="312"/>
      <c r="C21" s="313"/>
      <c r="D21" s="314"/>
      <c r="E21" s="315"/>
      <c r="F21" s="314"/>
      <c r="G21" s="315"/>
      <c r="H21" s="308">
        <f t="shared" si="0"/>
        <v>0</v>
      </c>
      <c r="I21" s="309"/>
    </row>
    <row r="22" spans="2:12" ht="15.75" x14ac:dyDescent="0.25">
      <c r="B22" s="306"/>
      <c r="C22" s="284"/>
      <c r="D22" s="307"/>
      <c r="E22" s="307"/>
      <c r="F22" s="307"/>
      <c r="G22" s="307"/>
      <c r="H22" s="308">
        <f t="shared" si="0"/>
        <v>0</v>
      </c>
      <c r="I22" s="309"/>
    </row>
    <row r="23" spans="2:12" ht="15.75" x14ac:dyDescent="0.25">
      <c r="B23" s="312"/>
      <c r="C23" s="313"/>
      <c r="D23" s="307"/>
      <c r="E23" s="307"/>
      <c r="F23" s="307"/>
      <c r="G23" s="307"/>
      <c r="H23" s="308">
        <f t="shared" si="0"/>
        <v>0</v>
      </c>
      <c r="I23" s="309"/>
    </row>
    <row r="24" spans="2:12" ht="15.75" x14ac:dyDescent="0.25">
      <c r="B24" s="306"/>
      <c r="C24" s="284"/>
      <c r="D24" s="307"/>
      <c r="E24" s="307"/>
      <c r="F24" s="307"/>
      <c r="G24" s="307"/>
      <c r="H24" s="308">
        <f t="shared" si="0"/>
        <v>0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0.10069444444444453</v>
      </c>
      <c r="I25" s="311"/>
      <c r="J25" s="6"/>
      <c r="L25">
        <f>60*2+25</f>
        <v>145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2.4166666666666665</v>
      </c>
    </row>
    <row r="27" spans="2:12" ht="16.5" thickBot="1" x14ac:dyDescent="0.3">
      <c r="B27" s="300" t="s">
        <v>144</v>
      </c>
      <c r="C27" s="301"/>
      <c r="D27" s="302"/>
      <c r="E27" s="190"/>
      <c r="G27" s="303" t="s">
        <v>133</v>
      </c>
      <c r="H27" s="304"/>
      <c r="I27" s="305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9" t="s">
        <v>140</v>
      </c>
      <c r="H28" s="280"/>
      <c r="I28" s="161">
        <f>B34*22</f>
        <v>53.02</v>
      </c>
    </row>
    <row r="29" spans="2:12" ht="15.75" x14ac:dyDescent="0.25">
      <c r="B29" s="164">
        <f>H19</f>
        <v>5.208333333333337E-2</v>
      </c>
      <c r="C29" s="141">
        <v>2.7777777777777776E-2</v>
      </c>
      <c r="D29" s="193">
        <f>C29+B29</f>
        <v>7.9861111111111147E-2</v>
      </c>
      <c r="E29" s="190"/>
      <c r="G29" s="255" t="s">
        <v>141</v>
      </c>
      <c r="H29" s="256"/>
      <c r="I29" s="162">
        <f>C34*22</f>
        <v>29.26</v>
      </c>
    </row>
    <row r="30" spans="2:12" ht="15.75" x14ac:dyDescent="0.25">
      <c r="B30" s="164">
        <f t="shared" ref="B30:B33" si="1">H20</f>
        <v>4.861111111111116E-2</v>
      </c>
      <c r="C30" s="141">
        <v>2.7777777777777776E-2</v>
      </c>
      <c r="D30" s="193">
        <f t="shared" ref="D30:D33" si="2">C30+B30</f>
        <v>7.6388888888888937E-2</v>
      </c>
      <c r="E30" s="190"/>
      <c r="G30" s="255" t="s">
        <v>142</v>
      </c>
      <c r="H30" s="256"/>
      <c r="I30" s="162">
        <f>I28+I29</f>
        <v>82.28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5" t="s">
        <v>137</v>
      </c>
      <c r="H31" s="256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5" t="s">
        <v>143</v>
      </c>
      <c r="H32" s="256"/>
      <c r="I32" s="162">
        <f>I30*0.25</f>
        <v>20.57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31" t="s">
        <v>133</v>
      </c>
      <c r="H33" s="232"/>
      <c r="I33" s="163">
        <f>((I30+I32)/I31)</f>
        <v>0.46749999999999997</v>
      </c>
    </row>
    <row r="34" spans="1:13" ht="16.5" thickBot="1" x14ac:dyDescent="0.3">
      <c r="B34" s="205">
        <v>2.41</v>
      </c>
      <c r="C34" s="206">
        <v>1.33</v>
      </c>
      <c r="D34" s="207">
        <f>SUM(B34:C34)</f>
        <v>3.74</v>
      </c>
      <c r="E34" s="190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194</v>
      </c>
      <c r="C39" s="298"/>
      <c r="D39" s="298"/>
      <c r="E39" s="299"/>
      <c r="F39" s="14"/>
      <c r="J39" s="182"/>
    </row>
    <row r="40" spans="1:13" ht="15.75" customHeight="1" x14ac:dyDescent="0.25">
      <c r="B40" s="244" t="s">
        <v>93</v>
      </c>
      <c r="C40" s="246"/>
      <c r="D40" s="245"/>
      <c r="E40" s="195">
        <v>28</v>
      </c>
      <c r="F40" s="14"/>
      <c r="J40" s="182"/>
    </row>
    <row r="41" spans="1:13" ht="15.75" customHeight="1" x14ac:dyDescent="0.25">
      <c r="B41" s="244" t="s">
        <v>88</v>
      </c>
      <c r="C41" s="246"/>
      <c r="D41" s="245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4" t="s">
        <v>180</v>
      </c>
      <c r="C42" s="246"/>
      <c r="D42" s="245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4" t="s">
        <v>91</v>
      </c>
      <c r="C43" s="246"/>
      <c r="D43" s="245"/>
      <c r="E43" s="158">
        <v>494300</v>
      </c>
      <c r="F43" s="60"/>
      <c r="J43" s="182"/>
    </row>
    <row r="44" spans="1:13" ht="15.75" customHeight="1" x14ac:dyDescent="0.25">
      <c r="B44" s="255" t="s">
        <v>122</v>
      </c>
      <c r="C44" s="256"/>
      <c r="D44" s="256"/>
      <c r="E44" s="159">
        <v>0.1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444870</v>
      </c>
      <c r="F45" s="14"/>
    </row>
    <row r="46" spans="1:13" ht="15.75" customHeight="1" x14ac:dyDescent="0.25">
      <c r="B46" s="255" t="s">
        <v>89</v>
      </c>
      <c r="C46" s="256"/>
      <c r="D46" s="256"/>
      <c r="E46" s="195" t="s">
        <v>94</v>
      </c>
      <c r="F46" s="14"/>
    </row>
    <row r="47" spans="1:13" ht="15.75" customHeight="1" x14ac:dyDescent="0.25">
      <c r="B47" s="255" t="s">
        <v>90</v>
      </c>
      <c r="C47" s="256"/>
      <c r="D47" s="256"/>
      <c r="E47" s="195" t="s">
        <v>95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51.078027000000006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62.915852999999998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16.441424999999999</v>
      </c>
      <c r="J55" s="18"/>
      <c r="K55" s="18"/>
      <c r="L55" s="182"/>
      <c r="M55" s="182"/>
    </row>
    <row r="56" spans="2:13" ht="15.75" customHeight="1" x14ac:dyDescent="0.25">
      <c r="B56" s="85" t="s">
        <v>165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62.355626666666673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1.753752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2.7029702700000002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6.0285225000000002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6.4304240000000004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8.6956870000000013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4.0190149999999996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191.5097184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421.07102083666666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82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0.46749999999999997</v>
      </c>
      <c r="D76" s="132">
        <v>0.1</v>
      </c>
      <c r="E76" s="118">
        <f>E43</f>
        <v>494300</v>
      </c>
      <c r="F76" s="133">
        <f>E76*D76*C76</f>
        <v>23108.524999999998</v>
      </c>
      <c r="G76" s="134">
        <f>F76/12</f>
        <v>1925.7104166666666</v>
      </c>
      <c r="I76" s="182"/>
    </row>
    <row r="77" spans="2:12" ht="15.75" customHeight="1" x14ac:dyDescent="0.25">
      <c r="B77" s="125" t="s">
        <v>145</v>
      </c>
      <c r="C77" s="131">
        <f>C76</f>
        <v>0.46749999999999997</v>
      </c>
      <c r="D77" s="132">
        <v>0.02</v>
      </c>
      <c r="E77" s="118">
        <f>E45</f>
        <v>444870</v>
      </c>
      <c r="F77" s="133">
        <f>E77*D77*C77</f>
        <v>4159.5344999999998</v>
      </c>
      <c r="G77" s="134">
        <f>F77/12</f>
        <v>346.62787499999996</v>
      </c>
      <c r="H77" s="6"/>
      <c r="I77" s="182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2493.5524583333336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82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97" t="s">
        <v>83</v>
      </c>
      <c r="G81" s="136">
        <f>G66</f>
        <v>421.07102083666666</v>
      </c>
      <c r="H81" s="6"/>
      <c r="I81" s="182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95">
        <v>7.6</v>
      </c>
      <c r="E82" s="24"/>
      <c r="F82" s="181" t="s">
        <v>84</v>
      </c>
      <c r="G82" s="84">
        <f>G78</f>
        <v>2493.5524583333336</v>
      </c>
      <c r="H82" s="6"/>
      <c r="I82" s="182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95">
        <f>I12/D82</f>
        <v>192.29736842105265</v>
      </c>
      <c r="E83" s="24"/>
      <c r="F83" s="183" t="s">
        <v>85</v>
      </c>
      <c r="G83" s="84">
        <f>D84</f>
        <v>1082.6341842105264</v>
      </c>
      <c r="H83" s="6"/>
      <c r="I83" s="182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1082.6341842105264</v>
      </c>
      <c r="E84" s="75"/>
      <c r="F84" s="179" t="s">
        <v>159</v>
      </c>
      <c r="G84" s="90">
        <f>SUM(G81:G83)</f>
        <v>3997.2576633805265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5" t="s">
        <v>19</v>
      </c>
      <c r="C93" s="256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2595.1799999999998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124.27595148227998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673.56654512139323</v>
      </c>
      <c r="F144" s="182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182"/>
      <c r="G145" s="183" t="s">
        <v>160</v>
      </c>
      <c r="H145" s="84">
        <f>H104</f>
        <v>2601.2999999999997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-25.279939352849997</v>
      </c>
      <c r="F147" s="182"/>
      <c r="G147" s="183" t="s">
        <v>161</v>
      </c>
      <c r="H147" s="84">
        <f>E148</f>
        <v>1125.6822093527637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1125.6822093527637</v>
      </c>
      <c r="F148" s="182"/>
      <c r="G148" s="179" t="s">
        <v>159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9941.2784134272661</v>
      </c>
      <c r="D155" s="94">
        <v>0.05</v>
      </c>
      <c r="E155" s="84">
        <f>C155*D155</f>
        <v>497.06392067136335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10438.34233409863</v>
      </c>
      <c r="D156" s="94">
        <v>0.1</v>
      </c>
      <c r="E156" s="84">
        <f>C156*D156</f>
        <v>1043.8342334098631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11482.176567508493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732.90488728777621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1602.9249339256871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2273.803041369003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3143.8230880069141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12215.081454796271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13085.101501434181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2778.8297006468506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3997.2576633805265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2273.803041369003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3143.8230880069141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9049.8904053963797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9919.9104520342917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6.1923627094798208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6.7876715421799378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107.73679054043309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118.09417204802727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42" zoomScale="120" zoomScaleNormal="120" workbookViewId="0">
      <selection activeCell="I53" sqref="I53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211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8" t="s">
        <v>0</v>
      </c>
      <c r="C9" s="319"/>
      <c r="D9" s="198" t="s">
        <v>183</v>
      </c>
      <c r="F9" s="318" t="s">
        <v>3</v>
      </c>
      <c r="G9" s="319"/>
      <c r="H9" s="319"/>
      <c r="I9" s="143">
        <f>28*3</f>
        <v>84</v>
      </c>
    </row>
    <row r="10" spans="1:9" ht="15.75" x14ac:dyDescent="0.25">
      <c r="B10" s="320" t="s">
        <v>1</v>
      </c>
      <c r="C10" s="321"/>
      <c r="D10" s="187">
        <v>204</v>
      </c>
      <c r="F10" s="320" t="s">
        <v>71</v>
      </c>
      <c r="G10" s="321"/>
      <c r="H10" s="321"/>
      <c r="I10" s="175">
        <f>I12/I11</f>
        <v>88.218181818181819</v>
      </c>
    </row>
    <row r="11" spans="1:9" ht="15.75" x14ac:dyDescent="0.25">
      <c r="B11" s="320" t="s">
        <v>75</v>
      </c>
      <c r="C11" s="321"/>
      <c r="D11" s="187">
        <v>10</v>
      </c>
      <c r="F11" s="320" t="s">
        <v>2</v>
      </c>
      <c r="G11" s="321"/>
      <c r="H11" s="321"/>
      <c r="I11" s="187">
        <v>22</v>
      </c>
    </row>
    <row r="12" spans="1:9" ht="15.75" x14ac:dyDescent="0.25">
      <c r="B12" s="320" t="s">
        <v>2</v>
      </c>
      <c r="C12" s="321"/>
      <c r="D12" s="187">
        <v>22</v>
      </c>
      <c r="F12" s="320" t="s">
        <v>72</v>
      </c>
      <c r="G12" s="321"/>
      <c r="H12" s="321"/>
      <c r="I12" s="187">
        <v>1940.8</v>
      </c>
    </row>
    <row r="13" spans="1:9" ht="16.5" thickBot="1" x14ac:dyDescent="0.3">
      <c r="B13" s="186"/>
      <c r="C13" s="256"/>
      <c r="D13" s="338"/>
      <c r="E13" s="182"/>
      <c r="F13" s="217" t="s">
        <v>73</v>
      </c>
      <c r="G13" s="218"/>
      <c r="H13" s="218"/>
      <c r="I13" s="189">
        <f>I12*D11</f>
        <v>19408</v>
      </c>
    </row>
    <row r="14" spans="1:9" ht="16.5" thickBot="1" x14ac:dyDescent="0.3">
      <c r="B14" s="178"/>
      <c r="C14" s="294"/>
      <c r="D14" s="317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190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</row>
    <row r="19" spans="2:12" ht="15.75" x14ac:dyDescent="0.25">
      <c r="B19" s="312" t="s">
        <v>103</v>
      </c>
      <c r="C19" s="313"/>
      <c r="D19" s="308">
        <v>0.2638888888888889</v>
      </c>
      <c r="E19" s="308"/>
      <c r="F19" s="308">
        <v>0.30555555555555552</v>
      </c>
      <c r="G19" s="308"/>
      <c r="H19" s="308">
        <f>F19-D19</f>
        <v>4.166666666666663E-2</v>
      </c>
      <c r="I19" s="309"/>
    </row>
    <row r="20" spans="2:12" ht="15.75" x14ac:dyDescent="0.25">
      <c r="B20" s="312" t="s">
        <v>104</v>
      </c>
      <c r="C20" s="313"/>
      <c r="D20" s="307">
        <v>0.47916666666666669</v>
      </c>
      <c r="E20" s="307"/>
      <c r="F20" s="307">
        <v>0.54166666666666663</v>
      </c>
      <c r="G20" s="307"/>
      <c r="H20" s="308">
        <f t="shared" ref="H20:H24" si="0">F20-D20</f>
        <v>6.2499999999999944E-2</v>
      </c>
      <c r="I20" s="309"/>
      <c r="L20">
        <f>4*60+40</f>
        <v>280</v>
      </c>
    </row>
    <row r="21" spans="2:12" ht="15.75" x14ac:dyDescent="0.25">
      <c r="B21" s="312" t="s">
        <v>187</v>
      </c>
      <c r="C21" s="313"/>
      <c r="D21" s="314"/>
      <c r="E21" s="315"/>
      <c r="F21" s="314"/>
      <c r="G21" s="315"/>
      <c r="H21" s="308">
        <f t="shared" si="0"/>
        <v>0</v>
      </c>
      <c r="I21" s="309"/>
    </row>
    <row r="22" spans="2:12" ht="15.75" x14ac:dyDescent="0.25">
      <c r="B22" s="312" t="s">
        <v>188</v>
      </c>
      <c r="C22" s="313"/>
      <c r="D22" s="307"/>
      <c r="E22" s="307"/>
      <c r="F22" s="307"/>
      <c r="G22" s="307"/>
      <c r="H22" s="308">
        <f t="shared" si="0"/>
        <v>0</v>
      </c>
      <c r="I22" s="309"/>
    </row>
    <row r="23" spans="2:12" ht="15.75" x14ac:dyDescent="0.25">
      <c r="B23" s="312" t="s">
        <v>189</v>
      </c>
      <c r="C23" s="313"/>
      <c r="D23" s="307">
        <v>0.70833333333333337</v>
      </c>
      <c r="E23" s="307"/>
      <c r="F23" s="307">
        <v>0.76041666666666663</v>
      </c>
      <c r="G23" s="307"/>
      <c r="H23" s="308">
        <f t="shared" si="0"/>
        <v>5.2083333333333259E-2</v>
      </c>
      <c r="I23" s="309"/>
    </row>
    <row r="24" spans="2:12" ht="15.75" x14ac:dyDescent="0.25">
      <c r="B24" s="312" t="s">
        <v>190</v>
      </c>
      <c r="C24" s="313"/>
      <c r="D24" s="307">
        <v>0.94791666666666663</v>
      </c>
      <c r="E24" s="307"/>
      <c r="F24" s="307">
        <v>0.98611111111111116</v>
      </c>
      <c r="G24" s="307"/>
      <c r="H24" s="308">
        <f t="shared" si="0"/>
        <v>3.8194444444444531E-2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0.19444444444444436</v>
      </c>
      <c r="I25" s="311"/>
      <c r="J25" s="6"/>
      <c r="L25">
        <v>280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4.666666666666667</v>
      </c>
    </row>
    <row r="27" spans="2:12" ht="16.5" thickBot="1" x14ac:dyDescent="0.3">
      <c r="B27" s="300" t="s">
        <v>144</v>
      </c>
      <c r="C27" s="301"/>
      <c r="D27" s="302"/>
      <c r="E27" s="190"/>
      <c r="G27" s="303" t="s">
        <v>133</v>
      </c>
      <c r="H27" s="304"/>
      <c r="I27" s="305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9" t="s">
        <v>140</v>
      </c>
      <c r="H28" s="280"/>
      <c r="I28" s="161">
        <f>B34*22</f>
        <v>102.66666666666667</v>
      </c>
    </row>
    <row r="29" spans="2:12" ht="15.75" x14ac:dyDescent="0.25">
      <c r="B29" s="164">
        <f>H19</f>
        <v>4.166666666666663E-2</v>
      </c>
      <c r="C29" s="141"/>
      <c r="D29" s="193">
        <f>C29+B29</f>
        <v>4.166666666666663E-2</v>
      </c>
      <c r="E29" s="190"/>
      <c r="G29" s="255" t="s">
        <v>141</v>
      </c>
      <c r="H29" s="256"/>
      <c r="I29" s="162">
        <f>C34*22</f>
        <v>0</v>
      </c>
    </row>
    <row r="30" spans="2:12" ht="15.75" x14ac:dyDescent="0.25">
      <c r="B30" s="164">
        <f t="shared" ref="B30:B33" si="1">H20</f>
        <v>6.2499999999999944E-2</v>
      </c>
      <c r="C30" s="141"/>
      <c r="D30" s="193">
        <f t="shared" ref="D30:D33" si="2">C30+B30</f>
        <v>6.2499999999999944E-2</v>
      </c>
      <c r="E30" s="190"/>
      <c r="G30" s="255" t="s">
        <v>142</v>
      </c>
      <c r="H30" s="256"/>
      <c r="I30" s="162">
        <f>I28+I29</f>
        <v>102.66666666666667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5" t="s">
        <v>137</v>
      </c>
      <c r="H31" s="256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5" t="s">
        <v>143</v>
      </c>
      <c r="H32" s="256"/>
      <c r="I32" s="162">
        <f>I30*0.25</f>
        <v>25.666666666666668</v>
      </c>
    </row>
    <row r="33" spans="1:13" ht="16.5" thickBot="1" x14ac:dyDescent="0.3">
      <c r="B33" s="164">
        <f t="shared" si="1"/>
        <v>5.2083333333333259E-2</v>
      </c>
      <c r="C33" s="141"/>
      <c r="D33" s="193">
        <f t="shared" si="2"/>
        <v>5.2083333333333259E-2</v>
      </c>
      <c r="E33" s="190"/>
      <c r="G33" s="231" t="s">
        <v>133</v>
      </c>
      <c r="H33" s="232"/>
      <c r="I33" s="163">
        <f>((I30+I32)/I31)</f>
        <v>0.58333333333333337</v>
      </c>
    </row>
    <row r="34" spans="1:13" ht="16.5" thickBot="1" x14ac:dyDescent="0.3">
      <c r="B34" s="205">
        <f>L26</f>
        <v>4.666666666666667</v>
      </c>
      <c r="C34" s="206"/>
      <c r="D34" s="207">
        <f>SUM(B34:C34)</f>
        <v>4.666666666666667</v>
      </c>
      <c r="E34" s="190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194</v>
      </c>
      <c r="C39" s="298"/>
      <c r="D39" s="298"/>
      <c r="E39" s="299"/>
      <c r="F39" s="14"/>
      <c r="J39" s="182"/>
    </row>
    <row r="40" spans="1:13" ht="15.75" customHeight="1" x14ac:dyDescent="0.25">
      <c r="B40" s="244" t="s">
        <v>93</v>
      </c>
      <c r="C40" s="246"/>
      <c r="D40" s="245"/>
      <c r="E40" s="195">
        <v>28</v>
      </c>
      <c r="F40" s="14"/>
      <c r="J40" s="182"/>
    </row>
    <row r="41" spans="1:13" ht="15.75" customHeight="1" x14ac:dyDescent="0.25">
      <c r="B41" s="244" t="s">
        <v>88</v>
      </c>
      <c r="C41" s="246"/>
      <c r="D41" s="245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4" t="s">
        <v>180</v>
      </c>
      <c r="C42" s="246"/>
      <c r="D42" s="245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4" t="s">
        <v>91</v>
      </c>
      <c r="C43" s="246"/>
      <c r="D43" s="245"/>
      <c r="E43" s="158">
        <v>494300</v>
      </c>
      <c r="F43" s="60"/>
      <c r="J43" s="182"/>
    </row>
    <row r="44" spans="1:13" ht="15.75" customHeight="1" x14ac:dyDescent="0.25">
      <c r="B44" s="255" t="s">
        <v>122</v>
      </c>
      <c r="C44" s="256"/>
      <c r="D44" s="256"/>
      <c r="E44" s="159">
        <v>0.1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444870</v>
      </c>
      <c r="F45" s="14"/>
    </row>
    <row r="46" spans="1:13" ht="15.75" customHeight="1" x14ac:dyDescent="0.25">
      <c r="B46" s="255" t="s">
        <v>89</v>
      </c>
      <c r="C46" s="256"/>
      <c r="D46" s="256"/>
      <c r="E46" s="195" t="s">
        <v>94</v>
      </c>
      <c r="F46" s="14"/>
    </row>
    <row r="47" spans="1:13" ht="15.75" customHeight="1" x14ac:dyDescent="0.25">
      <c r="B47" s="255" t="s">
        <v>90</v>
      </c>
      <c r="C47" s="256"/>
      <c r="D47" s="256"/>
      <c r="E47" s="195" t="s">
        <v>95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67.830960000000005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83.551439999999999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21.834</v>
      </c>
      <c r="J55" s="18"/>
      <c r="K55" s="18"/>
      <c r="L55" s="182"/>
      <c r="M55" s="182"/>
    </row>
    <row r="56" spans="2:13" ht="15.75" customHeight="1" x14ac:dyDescent="0.25">
      <c r="B56" s="85" t="s">
        <v>165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82.80746666666667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2.3289599999999999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3.5895096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8.0058000000000007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8.5395199999999996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11.54776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5.3371999999999993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254.32243199999996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556.8350482666666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82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0.58333333333333337</v>
      </c>
      <c r="D76" s="132">
        <v>0.1</v>
      </c>
      <c r="E76" s="118">
        <f>E43</f>
        <v>494300</v>
      </c>
      <c r="F76" s="133">
        <f>E76*D76*C76</f>
        <v>28834.166666666668</v>
      </c>
      <c r="G76" s="134">
        <f>F76/12</f>
        <v>2402.8472222222222</v>
      </c>
      <c r="I76" s="182"/>
    </row>
    <row r="77" spans="2:12" ht="15.75" customHeight="1" x14ac:dyDescent="0.25">
      <c r="B77" s="125" t="s">
        <v>145</v>
      </c>
      <c r="C77" s="131">
        <f>C76</f>
        <v>0.58333333333333337</v>
      </c>
      <c r="D77" s="132">
        <v>0.02</v>
      </c>
      <c r="E77" s="118">
        <f>E45</f>
        <v>444870</v>
      </c>
      <c r="F77" s="133">
        <f>E77*D77*C77</f>
        <v>5190.1500000000005</v>
      </c>
      <c r="G77" s="134">
        <f>F77/12</f>
        <v>432.51250000000005</v>
      </c>
      <c r="H77" s="6"/>
      <c r="I77" s="182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3056.5738888888891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82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97" t="s">
        <v>83</v>
      </c>
      <c r="G81" s="136">
        <f>G66</f>
        <v>556.8350482666666</v>
      </c>
      <c r="H81" s="6"/>
      <c r="I81" s="182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95">
        <v>7.6</v>
      </c>
      <c r="E82" s="24"/>
      <c r="F82" s="181" t="s">
        <v>84</v>
      </c>
      <c r="G82" s="84">
        <f>G78</f>
        <v>3056.5738888888891</v>
      </c>
      <c r="H82" s="6"/>
      <c r="I82" s="182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95">
        <f>I12/D82</f>
        <v>255.36842105263159</v>
      </c>
      <c r="E83" s="24"/>
      <c r="F83" s="183" t="s">
        <v>85</v>
      </c>
      <c r="G83" s="84">
        <f>D84</f>
        <v>1437.7242105263158</v>
      </c>
      <c r="H83" s="6"/>
      <c r="I83" s="182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1437.7242105263158</v>
      </c>
      <c r="E84" s="75"/>
      <c r="F84" s="179" t="s">
        <v>159</v>
      </c>
      <c r="G84" s="90">
        <f>SUM(G81:G83)</f>
        <v>5051.1331476818714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5" t="s">
        <v>19</v>
      </c>
      <c r="C93" s="256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2595.1799999999998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124.27595148227998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673.56654512139323</v>
      </c>
      <c r="F144" s="182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182"/>
      <c r="G145" s="183" t="s">
        <v>160</v>
      </c>
      <c r="H145" s="84">
        <f>H104</f>
        <v>2601.2999999999997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-25.279939352849997</v>
      </c>
      <c r="F147" s="182"/>
      <c r="G147" s="183" t="s">
        <v>161</v>
      </c>
      <c r="H147" s="84">
        <f>E148</f>
        <v>1125.6822093527637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1125.6822093527637</v>
      </c>
      <c r="F148" s="182"/>
      <c r="G148" s="179" t="s">
        <v>159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10995.153897728611</v>
      </c>
      <c r="D155" s="94">
        <v>0.05</v>
      </c>
      <c r="E155" s="84">
        <f>C155*D155</f>
        <v>549.75769488643061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11544.911592615041</v>
      </c>
      <c r="D156" s="94">
        <v>0.1</v>
      </c>
      <c r="E156" s="84">
        <f>C156*D156</f>
        <v>1154.4911592615042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12699.402751876545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810.60017565169437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1772.851096415814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2514.8490297996291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3477.0999505637492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13510.00292752824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14472.253848292359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3467.3454375272649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5051.1331476818714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2514.8490297996291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3477.0999505637492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11033.327615008766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11995.578535772886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5.6849379714595871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6.18073914662659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131.34913827391387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142.80450637824865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honeticPr fontId="13" type="noConversion"/>
  <pageMargins left="0.7" right="0.7" top="0.75" bottom="0.75" header="0.3" footer="0.3"/>
  <pageSetup paperSize="9" scale="52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B1" zoomScale="120" zoomScaleNormal="120" workbookViewId="0">
      <selection activeCell="C4" sqref="C4:I4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2"/>
      <c r="C1" s="324" t="s">
        <v>77</v>
      </c>
      <c r="D1" s="325"/>
      <c r="E1" s="325"/>
      <c r="F1" s="325"/>
      <c r="G1" s="325"/>
      <c r="H1" s="325"/>
      <c r="I1" s="326"/>
    </row>
    <row r="2" spans="1:9" ht="40.5" customHeight="1" thickBot="1" x14ac:dyDescent="0.3">
      <c r="B2" s="323"/>
      <c r="C2" s="327"/>
      <c r="D2" s="328"/>
      <c r="E2" s="328"/>
      <c r="F2" s="328"/>
      <c r="G2" s="328"/>
      <c r="H2" s="328"/>
      <c r="I2" s="329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30" t="s">
        <v>210</v>
      </c>
      <c r="C4" s="332"/>
      <c r="D4" s="333"/>
      <c r="E4" s="333"/>
      <c r="F4" s="333"/>
      <c r="G4" s="333"/>
      <c r="H4" s="333"/>
      <c r="I4" s="334"/>
    </row>
    <row r="5" spans="1:9" ht="15.75" customHeight="1" thickBot="1" x14ac:dyDescent="0.3">
      <c r="B5" s="331"/>
      <c r="C5" s="335"/>
      <c r="D5" s="336"/>
      <c r="E5" s="336"/>
      <c r="F5" s="336"/>
      <c r="G5" s="336"/>
      <c r="H5" s="336"/>
      <c r="I5" s="337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3" t="s">
        <v>78</v>
      </c>
      <c r="C7" s="234"/>
      <c r="D7" s="234"/>
      <c r="E7" s="234"/>
      <c r="F7" s="234"/>
      <c r="G7" s="234"/>
      <c r="H7" s="234"/>
      <c r="I7" s="235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8" t="s">
        <v>0</v>
      </c>
      <c r="C9" s="319"/>
      <c r="D9" s="198" t="s">
        <v>183</v>
      </c>
      <c r="F9" s="318" t="s">
        <v>3</v>
      </c>
      <c r="G9" s="319"/>
      <c r="H9" s="319"/>
      <c r="I9" s="143">
        <v>60</v>
      </c>
    </row>
    <row r="10" spans="1:9" ht="15.75" x14ac:dyDescent="0.25">
      <c r="B10" s="320" t="s">
        <v>1</v>
      </c>
      <c r="C10" s="321"/>
      <c r="D10" s="187">
        <v>204</v>
      </c>
      <c r="F10" s="320" t="s">
        <v>71</v>
      </c>
      <c r="G10" s="321"/>
      <c r="H10" s="321"/>
      <c r="I10" s="175">
        <f>I12/I11</f>
        <v>49.585909090909098</v>
      </c>
    </row>
    <row r="11" spans="1:9" ht="15.75" x14ac:dyDescent="0.25">
      <c r="B11" s="320" t="s">
        <v>75</v>
      </c>
      <c r="C11" s="321"/>
      <c r="D11" s="187">
        <v>10</v>
      </c>
      <c r="F11" s="320" t="s">
        <v>2</v>
      </c>
      <c r="G11" s="321"/>
      <c r="H11" s="321"/>
      <c r="I11" s="187">
        <v>22</v>
      </c>
    </row>
    <row r="12" spans="1:9" ht="15.75" x14ac:dyDescent="0.25">
      <c r="B12" s="320" t="s">
        <v>2</v>
      </c>
      <c r="C12" s="321"/>
      <c r="D12" s="187">
        <v>22</v>
      </c>
      <c r="F12" s="320" t="s">
        <v>72</v>
      </c>
      <c r="G12" s="321"/>
      <c r="H12" s="321"/>
      <c r="I12" s="187">
        <v>1090.8900000000001</v>
      </c>
    </row>
    <row r="13" spans="1:9" ht="16.5" thickBot="1" x14ac:dyDescent="0.3">
      <c r="B13" s="186"/>
      <c r="C13" s="256"/>
      <c r="D13" s="338"/>
      <c r="E13" s="182"/>
      <c r="F13" s="217" t="s">
        <v>73</v>
      </c>
      <c r="G13" s="218"/>
      <c r="H13" s="218"/>
      <c r="I13" s="189">
        <f>I12*D11</f>
        <v>10908.900000000001</v>
      </c>
    </row>
    <row r="14" spans="1:9" ht="16.5" thickBot="1" x14ac:dyDescent="0.3">
      <c r="B14" s="178"/>
      <c r="C14" s="294"/>
      <c r="D14" s="317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3" t="s">
        <v>79</v>
      </c>
      <c r="C16" s="234"/>
      <c r="D16" s="234"/>
      <c r="E16" s="234"/>
      <c r="F16" s="234"/>
      <c r="G16" s="234"/>
      <c r="H16" s="234"/>
      <c r="I16" s="235"/>
    </row>
    <row r="17" spans="2:12" ht="16.5" thickBot="1" x14ac:dyDescent="0.3">
      <c r="B17" s="14"/>
      <c r="C17" s="14"/>
      <c r="D17" s="14"/>
      <c r="E17" s="14"/>
      <c r="F17" s="13"/>
      <c r="G17" s="190"/>
      <c r="H17" s="254"/>
      <c r="I17" s="254"/>
    </row>
    <row r="18" spans="2:12" ht="16.5" thickBot="1" x14ac:dyDescent="0.3">
      <c r="B18" s="213" t="s">
        <v>136</v>
      </c>
      <c r="C18" s="214"/>
      <c r="D18" s="214" t="s">
        <v>4</v>
      </c>
      <c r="E18" s="214"/>
      <c r="F18" s="214" t="s">
        <v>5</v>
      </c>
      <c r="G18" s="214"/>
      <c r="H18" s="214" t="s">
        <v>6</v>
      </c>
      <c r="I18" s="316"/>
    </row>
    <row r="19" spans="2:12" ht="15.75" x14ac:dyDescent="0.25">
      <c r="B19" s="312" t="s">
        <v>103</v>
      </c>
      <c r="C19" s="313"/>
      <c r="D19" s="308">
        <v>0.27083333333333331</v>
      </c>
      <c r="E19" s="308"/>
      <c r="F19" s="308">
        <v>0.29166666666666669</v>
      </c>
      <c r="G19" s="308"/>
      <c r="H19" s="308">
        <f>F19-D19</f>
        <v>2.083333333333337E-2</v>
      </c>
      <c r="I19" s="309"/>
    </row>
    <row r="20" spans="2:12" ht="15.75" x14ac:dyDescent="0.25">
      <c r="B20" s="312" t="s">
        <v>104</v>
      </c>
      <c r="C20" s="313"/>
      <c r="D20" s="307">
        <v>0.47916666666666669</v>
      </c>
      <c r="E20" s="307"/>
      <c r="F20" s="307">
        <v>0.52083333333333337</v>
      </c>
      <c r="G20" s="307"/>
      <c r="H20" s="308">
        <f t="shared" ref="H20:H24" si="0">F20-D20</f>
        <v>4.1666666666666685E-2</v>
      </c>
      <c r="I20" s="309"/>
      <c r="L20">
        <f>3*60+40</f>
        <v>220</v>
      </c>
    </row>
    <row r="21" spans="2:12" ht="15.75" x14ac:dyDescent="0.25">
      <c r="B21" s="312" t="s">
        <v>187</v>
      </c>
      <c r="C21" s="313"/>
      <c r="D21" s="314"/>
      <c r="E21" s="315"/>
      <c r="F21" s="314"/>
      <c r="G21" s="315"/>
      <c r="H21" s="308">
        <f t="shared" si="0"/>
        <v>0</v>
      </c>
      <c r="I21" s="309"/>
    </row>
    <row r="22" spans="2:12" ht="15.75" x14ac:dyDescent="0.25">
      <c r="B22" s="312" t="s">
        <v>188</v>
      </c>
      <c r="C22" s="313"/>
      <c r="D22" s="307"/>
      <c r="E22" s="307"/>
      <c r="F22" s="307"/>
      <c r="G22" s="307"/>
      <c r="H22" s="308">
        <f t="shared" si="0"/>
        <v>0</v>
      </c>
      <c r="I22" s="309"/>
    </row>
    <row r="23" spans="2:12" ht="15.75" x14ac:dyDescent="0.25">
      <c r="B23" s="312" t="s">
        <v>189</v>
      </c>
      <c r="C23" s="313"/>
      <c r="D23" s="307">
        <v>0.70833333333333337</v>
      </c>
      <c r="E23" s="307"/>
      <c r="F23" s="307">
        <v>0.76041666666666663</v>
      </c>
      <c r="G23" s="307"/>
      <c r="H23" s="308">
        <f t="shared" si="0"/>
        <v>5.2083333333333259E-2</v>
      </c>
      <c r="I23" s="309"/>
    </row>
    <row r="24" spans="2:12" ht="15.75" x14ac:dyDescent="0.25">
      <c r="B24" s="312" t="s">
        <v>190</v>
      </c>
      <c r="C24" s="313"/>
      <c r="D24" s="307">
        <v>0.94791666666666663</v>
      </c>
      <c r="E24" s="307"/>
      <c r="F24" s="307">
        <v>0.98611111111111116</v>
      </c>
      <c r="G24" s="307"/>
      <c r="H24" s="308">
        <f t="shared" si="0"/>
        <v>3.8194444444444531E-2</v>
      </c>
      <c r="I24" s="309"/>
      <c r="J24" s="6"/>
    </row>
    <row r="25" spans="2:12" ht="16.5" thickBot="1" x14ac:dyDescent="0.3">
      <c r="B25" s="231" t="s">
        <v>134</v>
      </c>
      <c r="C25" s="232"/>
      <c r="D25" s="232"/>
      <c r="E25" s="232"/>
      <c r="F25" s="232"/>
      <c r="G25" s="232"/>
      <c r="H25" s="310">
        <f>SUM(H19:I24)</f>
        <v>0.15277777777777785</v>
      </c>
      <c r="I25" s="311"/>
      <c r="J25" s="6"/>
      <c r="L25">
        <f>L20</f>
        <v>220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3.6666666666666665</v>
      </c>
    </row>
    <row r="27" spans="2:12" ht="16.5" thickBot="1" x14ac:dyDescent="0.3">
      <c r="B27" s="300" t="s">
        <v>144</v>
      </c>
      <c r="C27" s="301"/>
      <c r="D27" s="302"/>
      <c r="E27" s="190"/>
      <c r="G27" s="303" t="s">
        <v>133</v>
      </c>
      <c r="H27" s="304"/>
      <c r="I27" s="305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9" t="s">
        <v>140</v>
      </c>
      <c r="H28" s="280"/>
      <c r="I28" s="161">
        <f>B34*22</f>
        <v>80.666666666666657</v>
      </c>
    </row>
    <row r="29" spans="2:12" ht="15.75" x14ac:dyDescent="0.25">
      <c r="B29" s="164">
        <f>H19</f>
        <v>2.083333333333337E-2</v>
      </c>
      <c r="C29" s="141">
        <v>1.0416666666666666E-2</v>
      </c>
      <c r="D29" s="193">
        <f>C29+B29</f>
        <v>3.1250000000000035E-2</v>
      </c>
      <c r="E29" s="190"/>
      <c r="G29" s="255" t="s">
        <v>141</v>
      </c>
      <c r="H29" s="256"/>
      <c r="I29" s="162">
        <f>C34*22</f>
        <v>11</v>
      </c>
    </row>
    <row r="30" spans="2:12" ht="15.75" x14ac:dyDescent="0.25">
      <c r="B30" s="164">
        <f t="shared" ref="B30:B33" si="1">H20</f>
        <v>4.1666666666666685E-2</v>
      </c>
      <c r="C30" s="141">
        <v>1.0416666666666666E-2</v>
      </c>
      <c r="D30" s="193">
        <f t="shared" ref="D30:D33" si="2">C30+B30</f>
        <v>5.208333333333335E-2</v>
      </c>
      <c r="E30" s="190"/>
      <c r="G30" s="255" t="s">
        <v>142</v>
      </c>
      <c r="H30" s="256"/>
      <c r="I30" s="162">
        <f>I28+I29</f>
        <v>91.666666666666657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5" t="s">
        <v>137</v>
      </c>
      <c r="H31" s="256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5" t="s">
        <v>143</v>
      </c>
      <c r="H32" s="256"/>
      <c r="I32" s="162">
        <f>I30*0.25</f>
        <v>22.916666666666664</v>
      </c>
    </row>
    <row r="33" spans="1:13" ht="16.5" thickBot="1" x14ac:dyDescent="0.3">
      <c r="B33" s="164">
        <f t="shared" si="1"/>
        <v>5.2083333333333259E-2</v>
      </c>
      <c r="C33" s="141"/>
      <c r="D33" s="193">
        <f t="shared" si="2"/>
        <v>5.2083333333333259E-2</v>
      </c>
      <c r="E33" s="190"/>
      <c r="G33" s="231" t="s">
        <v>133</v>
      </c>
      <c r="H33" s="232"/>
      <c r="I33" s="163">
        <f>((I30+I32)/I31)</f>
        <v>0.52083333333333326</v>
      </c>
    </row>
    <row r="34" spans="1:13" ht="16.5" thickBot="1" x14ac:dyDescent="0.3">
      <c r="B34" s="205">
        <f>L26</f>
        <v>3.6666666666666665</v>
      </c>
      <c r="C34" s="206">
        <v>0.5</v>
      </c>
      <c r="D34" s="207">
        <f>SUM(B34:C34)</f>
        <v>4.1666666666666661</v>
      </c>
      <c r="E34" s="190"/>
      <c r="F34" s="297"/>
      <c r="G34" s="297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3" t="s">
        <v>80</v>
      </c>
      <c r="C36" s="234"/>
      <c r="D36" s="234"/>
      <c r="E36" s="234"/>
      <c r="F36" s="234"/>
      <c r="G36" s="234"/>
      <c r="H36" s="234"/>
      <c r="I36" s="235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3" t="s">
        <v>97</v>
      </c>
      <c r="C38" s="234"/>
      <c r="D38" s="234"/>
      <c r="E38" s="235"/>
      <c r="F38" s="14"/>
      <c r="J38" s="22"/>
    </row>
    <row r="39" spans="1:13" ht="15.75" customHeight="1" x14ac:dyDescent="0.25">
      <c r="B39" s="277" t="s">
        <v>195</v>
      </c>
      <c r="C39" s="298"/>
      <c r="D39" s="298"/>
      <c r="E39" s="299"/>
      <c r="F39" s="14"/>
      <c r="J39" s="182"/>
    </row>
    <row r="40" spans="1:13" ht="15.75" customHeight="1" x14ac:dyDescent="0.25">
      <c r="B40" s="244" t="s">
        <v>93</v>
      </c>
      <c r="C40" s="246"/>
      <c r="D40" s="245"/>
      <c r="E40" s="195">
        <v>15</v>
      </c>
      <c r="F40" s="14"/>
      <c r="J40" s="182"/>
    </row>
    <row r="41" spans="1:13" ht="15.75" customHeight="1" x14ac:dyDescent="0.25">
      <c r="B41" s="244" t="s">
        <v>88</v>
      </c>
      <c r="C41" s="246"/>
      <c r="D41" s="245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4" t="s">
        <v>180</v>
      </c>
      <c r="C42" s="246"/>
      <c r="D42" s="245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4" t="s">
        <v>91</v>
      </c>
      <c r="C43" s="246"/>
      <c r="D43" s="245"/>
      <c r="E43" s="158">
        <v>240000</v>
      </c>
      <c r="F43" s="60"/>
      <c r="J43" s="182"/>
    </row>
    <row r="44" spans="1:13" ht="15.75" customHeight="1" x14ac:dyDescent="0.25">
      <c r="B44" s="255" t="s">
        <v>122</v>
      </c>
      <c r="C44" s="256"/>
      <c r="D44" s="256"/>
      <c r="E44" s="159">
        <v>0.1</v>
      </c>
      <c r="F44" s="14"/>
    </row>
    <row r="45" spans="1:13" ht="15.75" customHeight="1" x14ac:dyDescent="0.25">
      <c r="A45" t="s">
        <v>7</v>
      </c>
      <c r="B45" s="255" t="s">
        <v>8</v>
      </c>
      <c r="C45" s="256"/>
      <c r="D45" s="256"/>
      <c r="E45" s="158">
        <f>E43*0.9</f>
        <v>216000</v>
      </c>
      <c r="F45" s="14"/>
    </row>
    <row r="46" spans="1:13" ht="15.75" customHeight="1" x14ac:dyDescent="0.25">
      <c r="B46" s="255" t="s">
        <v>89</v>
      </c>
      <c r="C46" s="256"/>
      <c r="D46" s="256"/>
      <c r="E46" s="195" t="s">
        <v>94</v>
      </c>
      <c r="F46" s="14"/>
    </row>
    <row r="47" spans="1:13" ht="15.75" customHeight="1" x14ac:dyDescent="0.25">
      <c r="B47" s="255" t="s">
        <v>90</v>
      </c>
      <c r="C47" s="256"/>
      <c r="D47" s="256"/>
      <c r="E47" s="195" t="s">
        <v>95</v>
      </c>
      <c r="F47" s="14"/>
    </row>
    <row r="48" spans="1:13" ht="15.75" customHeight="1" thickBot="1" x14ac:dyDescent="0.3">
      <c r="B48" s="293" t="s">
        <v>92</v>
      </c>
      <c r="C48" s="294"/>
      <c r="D48" s="294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3" t="s">
        <v>98</v>
      </c>
      <c r="C50" s="234"/>
      <c r="D50" s="234"/>
      <c r="E50" s="234"/>
      <c r="F50" s="234"/>
      <c r="G50" s="235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38.126605500000004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46.9628145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12.272512500000001</v>
      </c>
      <c r="J55" s="18"/>
      <c r="K55" s="18"/>
      <c r="L55" s="182"/>
      <c r="M55" s="182"/>
    </row>
    <row r="56" spans="2:13" ht="15.75" customHeight="1" x14ac:dyDescent="0.25">
      <c r="B56" s="85" t="s">
        <v>165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46.544640000000008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1.3090679999999999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2.0176010550000001</v>
      </c>
      <c r="J58" s="18"/>
    </row>
    <row r="59" spans="2:13" ht="15.75" customHeight="1" x14ac:dyDescent="0.25">
      <c r="B59" s="139" t="s">
        <v>105</v>
      </c>
      <c r="C59" s="295">
        <v>80000</v>
      </c>
      <c r="D59" s="259">
        <v>6</v>
      </c>
      <c r="E59" s="296">
        <v>55</v>
      </c>
      <c r="F59" s="296">
        <f>D59*E59</f>
        <v>330</v>
      </c>
      <c r="G59" s="260">
        <f>F59/C59*I12</f>
        <v>4.4999212500000008</v>
      </c>
      <c r="J59" s="18"/>
    </row>
    <row r="60" spans="2:13" ht="15.75" customHeight="1" x14ac:dyDescent="0.25">
      <c r="B60" s="140" t="s">
        <v>112</v>
      </c>
      <c r="C60" s="295"/>
      <c r="D60" s="259"/>
      <c r="E60" s="296"/>
      <c r="F60" s="296"/>
      <c r="G60" s="260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4.7999160000000005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6.4907955000000008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2.9999475000000002</v>
      </c>
      <c r="J63" s="18"/>
      <c r="K63" s="24"/>
      <c r="L63" s="24"/>
      <c r="M63" s="17"/>
    </row>
    <row r="64" spans="2:13" ht="15.75" customHeight="1" x14ac:dyDescent="0.25">
      <c r="B64" s="85" t="s">
        <v>179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142.95022560000001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1" t="s">
        <v>123</v>
      </c>
      <c r="C66" s="232"/>
      <c r="D66" s="232"/>
      <c r="E66" s="232"/>
      <c r="F66" s="232"/>
      <c r="G66" s="90">
        <f>SUM(G53:G65)</f>
        <v>316.11404740499995</v>
      </c>
      <c r="H66" s="254"/>
      <c r="I66" s="254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8" t="s">
        <v>87</v>
      </c>
      <c r="C68" s="239"/>
      <c r="D68" s="239"/>
      <c r="E68" s="239"/>
      <c r="F68" s="239"/>
      <c r="G68" s="240"/>
      <c r="I68" s="182"/>
      <c r="J68" s="18"/>
      <c r="K68" s="18"/>
    </row>
    <row r="69" spans="2:12" ht="15.75" customHeight="1" x14ac:dyDescent="0.25">
      <c r="B69" s="288" t="s">
        <v>127</v>
      </c>
      <c r="C69" s="65" t="s">
        <v>146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9"/>
      <c r="C70" s="66" t="s">
        <v>147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0.52083333333333326</v>
      </c>
      <c r="D76" s="132">
        <v>0.1</v>
      </c>
      <c r="E76" s="118">
        <f>E43</f>
        <v>240000</v>
      </c>
      <c r="F76" s="133">
        <f>E76*D76*C76</f>
        <v>12499.999999999998</v>
      </c>
      <c r="G76" s="134">
        <f>F76/12</f>
        <v>1041.6666666666665</v>
      </c>
      <c r="I76" s="182"/>
    </row>
    <row r="77" spans="2:12" ht="15.75" customHeight="1" x14ac:dyDescent="0.25">
      <c r="B77" s="125" t="s">
        <v>145</v>
      </c>
      <c r="C77" s="131">
        <f>C76</f>
        <v>0.52083333333333326</v>
      </c>
      <c r="D77" s="132">
        <v>0.02</v>
      </c>
      <c r="E77" s="118">
        <f>E45</f>
        <v>216000</v>
      </c>
      <c r="F77" s="133">
        <f>E77*D77*C77</f>
        <v>2249.9999999999995</v>
      </c>
      <c r="G77" s="134">
        <f>F77/12</f>
        <v>187.49999999999997</v>
      </c>
      <c r="H77" s="6"/>
      <c r="I77" s="182"/>
      <c r="J77" s="6"/>
      <c r="K77" s="6"/>
      <c r="L77" s="6"/>
    </row>
    <row r="78" spans="2:12" ht="15.75" customHeight="1" thickBot="1" x14ac:dyDescent="0.3">
      <c r="B78" s="290" t="s">
        <v>123</v>
      </c>
      <c r="C78" s="291"/>
      <c r="D78" s="291"/>
      <c r="E78" s="291"/>
      <c r="F78" s="292"/>
      <c r="G78" s="90">
        <f>SUM(G71:G77)</f>
        <v>1450.3808333333332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3" t="s">
        <v>101</v>
      </c>
      <c r="C80" s="234"/>
      <c r="D80" s="235"/>
      <c r="E80" s="24" t="s">
        <v>7</v>
      </c>
      <c r="F80" s="233" t="s">
        <v>126</v>
      </c>
      <c r="G80" s="235"/>
      <c r="H80" s="22"/>
      <c r="I80" s="182"/>
      <c r="J80" s="6"/>
      <c r="K80" s="6"/>
      <c r="L80" s="6"/>
    </row>
    <row r="81" spans="2:12" ht="15.75" customHeight="1" x14ac:dyDescent="0.25">
      <c r="B81" s="261" t="s">
        <v>184</v>
      </c>
      <c r="C81" s="286"/>
      <c r="D81" s="155">
        <v>5.63</v>
      </c>
      <c r="E81" s="59"/>
      <c r="F81" s="197" t="s">
        <v>83</v>
      </c>
      <c r="G81" s="136">
        <f>G66</f>
        <v>316.11404740499995</v>
      </c>
      <c r="H81" s="6"/>
      <c r="I81" s="182"/>
      <c r="J81" s="6"/>
      <c r="K81" s="25"/>
      <c r="L81" s="6"/>
    </row>
    <row r="82" spans="2:12" ht="15.75" customHeight="1" x14ac:dyDescent="0.25">
      <c r="B82" s="244" t="s">
        <v>102</v>
      </c>
      <c r="C82" s="246"/>
      <c r="D82" s="195">
        <v>7.6</v>
      </c>
      <c r="E82" s="24"/>
      <c r="F82" s="181" t="s">
        <v>84</v>
      </c>
      <c r="G82" s="84">
        <f>G78</f>
        <v>1450.3808333333332</v>
      </c>
      <c r="H82" s="6"/>
      <c r="I82" s="182"/>
      <c r="J82" s="6"/>
      <c r="K82" s="25"/>
      <c r="L82" s="6"/>
    </row>
    <row r="83" spans="2:12" ht="15.75" customHeight="1" x14ac:dyDescent="0.25">
      <c r="B83" s="244" t="s">
        <v>124</v>
      </c>
      <c r="C83" s="246"/>
      <c r="D83" s="195">
        <f>I12/D82</f>
        <v>143.53815789473686</v>
      </c>
      <c r="E83" s="24"/>
      <c r="F83" s="183" t="s">
        <v>85</v>
      </c>
      <c r="G83" s="84">
        <f>D84</f>
        <v>808.11982894736843</v>
      </c>
      <c r="H83" s="6"/>
      <c r="I83" s="182"/>
      <c r="J83" s="6"/>
      <c r="K83" s="25"/>
      <c r="L83" s="6"/>
    </row>
    <row r="84" spans="2:12" ht="15.75" customHeight="1" thickBot="1" x14ac:dyDescent="0.3">
      <c r="B84" s="273" t="s">
        <v>123</v>
      </c>
      <c r="C84" s="287"/>
      <c r="D84" s="157">
        <f>D83*D81</f>
        <v>808.11982894736843</v>
      </c>
      <c r="E84" s="75"/>
      <c r="F84" s="179" t="s">
        <v>159</v>
      </c>
      <c r="G84" s="90">
        <f>SUM(G81:G83)</f>
        <v>2574.6147096857012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3" t="s">
        <v>81</v>
      </c>
      <c r="C86" s="234"/>
      <c r="D86" s="234"/>
      <c r="E86" s="234"/>
      <c r="F86" s="234"/>
      <c r="G86" s="234"/>
      <c r="H86" s="234"/>
      <c r="I86" s="235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8" t="s">
        <v>15</v>
      </c>
      <c r="C88" s="239"/>
      <c r="D88" s="239"/>
      <c r="E88" s="239"/>
      <c r="F88" s="240"/>
      <c r="G88" s="14"/>
      <c r="H88" s="14"/>
      <c r="I88" s="14"/>
    </row>
    <row r="89" spans="2:12" ht="15.75" x14ac:dyDescent="0.25">
      <c r="B89" s="279" t="s">
        <v>186</v>
      </c>
      <c r="C89" s="280"/>
      <c r="D89" s="281" t="s">
        <v>185</v>
      </c>
      <c r="E89" s="281"/>
      <c r="F89" s="282"/>
      <c r="G89" s="14"/>
      <c r="H89" s="14"/>
      <c r="I89" s="14"/>
    </row>
    <row r="90" spans="2:12" ht="15.75" x14ac:dyDescent="0.25">
      <c r="B90" s="255" t="s">
        <v>16</v>
      </c>
      <c r="C90" s="256"/>
      <c r="D90" s="283">
        <v>44571</v>
      </c>
      <c r="E90" s="284"/>
      <c r="F90" s="285"/>
      <c r="G90" s="14"/>
      <c r="H90" s="14"/>
      <c r="I90" s="14"/>
    </row>
    <row r="91" spans="2:12" ht="15.75" x14ac:dyDescent="0.25">
      <c r="B91" s="255" t="s">
        <v>17</v>
      </c>
      <c r="C91" s="256"/>
      <c r="D91" s="165">
        <v>1799.53</v>
      </c>
      <c r="E91" s="184"/>
      <c r="F91" s="187"/>
      <c r="G91" s="14"/>
      <c r="H91" s="14"/>
      <c r="I91" s="14"/>
    </row>
    <row r="92" spans="2:12" ht="15.75" x14ac:dyDescent="0.25">
      <c r="B92" s="255" t="s">
        <v>18</v>
      </c>
      <c r="C92" s="256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5" t="s">
        <v>19</v>
      </c>
      <c r="C93" s="256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5" t="s">
        <v>20</v>
      </c>
      <c r="C94" s="276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8" t="s">
        <v>29</v>
      </c>
      <c r="C99" s="239"/>
      <c r="D99" s="240"/>
      <c r="E99" s="17"/>
      <c r="F99" s="233" t="s">
        <v>150</v>
      </c>
      <c r="G99" s="234"/>
      <c r="H99" s="235"/>
      <c r="I99" s="14"/>
    </row>
    <row r="100" spans="2:9" ht="15.75" x14ac:dyDescent="0.25">
      <c r="B100" s="277" t="s">
        <v>30</v>
      </c>
      <c r="C100" s="278"/>
      <c r="D100" s="168">
        <v>0.09</v>
      </c>
      <c r="E100" s="17"/>
      <c r="F100" s="255" t="s">
        <v>34</v>
      </c>
      <c r="G100" s="256"/>
      <c r="H100" s="170">
        <f>D91</f>
        <v>1799.53</v>
      </c>
      <c r="I100" s="14"/>
    </row>
    <row r="101" spans="2:9" ht="15.75" x14ac:dyDescent="0.25">
      <c r="B101" s="244" t="s">
        <v>31</v>
      </c>
      <c r="C101" s="245"/>
      <c r="D101" s="159">
        <v>0.11</v>
      </c>
      <c r="E101" s="17"/>
      <c r="F101" s="255" t="s">
        <v>35</v>
      </c>
      <c r="G101" s="256"/>
      <c r="H101" s="170"/>
      <c r="I101" s="14"/>
    </row>
    <row r="102" spans="2:9" ht="15.75" x14ac:dyDescent="0.25">
      <c r="B102" s="244" t="s">
        <v>32</v>
      </c>
      <c r="C102" s="245"/>
      <c r="D102" s="159">
        <v>0.05</v>
      </c>
      <c r="E102" s="17"/>
      <c r="F102" s="255" t="s">
        <v>36</v>
      </c>
      <c r="G102" s="256"/>
      <c r="H102" s="170"/>
      <c r="I102" s="14"/>
    </row>
    <row r="103" spans="2:9" ht="16.5" thickBot="1" x14ac:dyDescent="0.3">
      <c r="B103" s="273" t="s">
        <v>76</v>
      </c>
      <c r="C103" s="274"/>
      <c r="D103" s="169">
        <v>0.25</v>
      </c>
      <c r="E103" s="17"/>
      <c r="F103" s="255" t="s">
        <v>37</v>
      </c>
      <c r="G103" s="256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3" t="s">
        <v>156</v>
      </c>
      <c r="G104" s="274"/>
      <c r="H104" s="157">
        <f>SUM(H100:H103)</f>
        <v>1805.6499999999999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3" t="s">
        <v>151</v>
      </c>
      <c r="C106" s="234"/>
      <c r="D106" s="234"/>
      <c r="E106" s="235"/>
      <c r="F106" s="14"/>
      <c r="G106" s="14"/>
      <c r="H106" s="14"/>
      <c r="I106" s="14"/>
    </row>
    <row r="107" spans="2:9" ht="16.5" thickBot="1" x14ac:dyDescent="0.3">
      <c r="B107" s="250" t="s">
        <v>153</v>
      </c>
      <c r="C107" s="251"/>
      <c r="D107" s="251"/>
      <c r="E107" s="252"/>
      <c r="F107" s="14"/>
      <c r="G107" s="14"/>
      <c r="H107" s="14"/>
      <c r="I107" s="14"/>
    </row>
    <row r="108" spans="2:9" ht="15.75" x14ac:dyDescent="0.25">
      <c r="B108" s="267" t="s">
        <v>40</v>
      </c>
      <c r="C108" s="268"/>
      <c r="D108" s="109">
        <v>8.3299999999999999E-2</v>
      </c>
      <c r="E108" s="171">
        <f>H104*D108</f>
        <v>150.41064499999999</v>
      </c>
      <c r="F108" s="14"/>
      <c r="G108" s="14"/>
      <c r="H108" s="14"/>
      <c r="I108" s="14"/>
    </row>
    <row r="109" spans="2:9" ht="15.75" x14ac:dyDescent="0.25">
      <c r="B109" s="244" t="s">
        <v>33</v>
      </c>
      <c r="C109" s="245"/>
      <c r="D109" s="101">
        <v>8.3299999999999999E-2</v>
      </c>
      <c r="E109" s="170">
        <f>H104*D109</f>
        <v>150.41064499999999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50.131867978499997</v>
      </c>
      <c r="F110" s="14"/>
      <c r="G110" s="14"/>
      <c r="H110" s="14"/>
      <c r="I110" s="14"/>
    </row>
    <row r="111" spans="2:9" ht="16.5" thickBot="1" x14ac:dyDescent="0.3">
      <c r="B111" s="271" t="s">
        <v>42</v>
      </c>
      <c r="C111" s="272"/>
      <c r="D111" s="272"/>
      <c r="E111" s="157">
        <f>SUM(E108:E110)</f>
        <v>350.95315797849997</v>
      </c>
      <c r="F111" s="14"/>
      <c r="G111" s="14"/>
      <c r="H111" s="14"/>
      <c r="I111" s="14"/>
    </row>
    <row r="112" spans="2:9" ht="16.5" thickBot="1" x14ac:dyDescent="0.3">
      <c r="B112" s="250" t="s">
        <v>154</v>
      </c>
      <c r="C112" s="251"/>
      <c r="D112" s="251"/>
      <c r="E112" s="252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2156.6031579784999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5" t="s">
        <v>44</v>
      </c>
      <c r="C114" s="256"/>
      <c r="D114" s="94">
        <v>0.2</v>
      </c>
      <c r="E114" s="89">
        <f>C113*D114</f>
        <v>431.32063159569998</v>
      </c>
      <c r="F114" s="14"/>
      <c r="G114" s="14"/>
      <c r="H114" s="14"/>
      <c r="I114" s="14"/>
    </row>
    <row r="115" spans="2:9" ht="15.75" x14ac:dyDescent="0.25">
      <c r="B115" s="255" t="s">
        <v>45</v>
      </c>
      <c r="C115" s="256"/>
      <c r="D115" s="101">
        <v>2.5000000000000001E-2</v>
      </c>
      <c r="E115" s="84">
        <f>C113*D115</f>
        <v>53.915078949462497</v>
      </c>
      <c r="F115" s="14"/>
      <c r="G115" s="14"/>
      <c r="H115" s="14"/>
      <c r="I115" s="14"/>
    </row>
    <row r="116" spans="2:9" ht="15.75" x14ac:dyDescent="0.25">
      <c r="B116" s="255" t="s">
        <v>46</v>
      </c>
      <c r="C116" s="256"/>
      <c r="D116" s="101">
        <v>0.03</v>
      </c>
      <c r="E116" s="84">
        <f>C113*D116</f>
        <v>64.698094739355</v>
      </c>
      <c r="F116" s="14"/>
      <c r="G116" s="14"/>
      <c r="H116" s="14"/>
      <c r="I116" s="14"/>
    </row>
    <row r="117" spans="2:9" ht="15.75" x14ac:dyDescent="0.25">
      <c r="B117" s="255" t="s">
        <v>47</v>
      </c>
      <c r="C117" s="256"/>
      <c r="D117" s="101">
        <v>1.4999999999999999E-2</v>
      </c>
      <c r="E117" s="84">
        <f>C113*D117</f>
        <v>32.3490473696775</v>
      </c>
      <c r="F117" s="14"/>
      <c r="G117" s="14"/>
      <c r="H117" s="14"/>
      <c r="I117" s="14"/>
    </row>
    <row r="118" spans="2:9" ht="15.75" x14ac:dyDescent="0.25">
      <c r="B118" s="255" t="s">
        <v>48</v>
      </c>
      <c r="C118" s="256"/>
      <c r="D118" s="94">
        <v>0.01</v>
      </c>
      <c r="E118" s="84">
        <f>C113*D118</f>
        <v>21.566031579785001</v>
      </c>
      <c r="F118" s="14"/>
      <c r="G118" s="14"/>
      <c r="H118" s="14"/>
      <c r="I118" s="14"/>
    </row>
    <row r="119" spans="2:9" ht="15.75" x14ac:dyDescent="0.25">
      <c r="B119" s="255" t="s">
        <v>49</v>
      </c>
      <c r="C119" s="256"/>
      <c r="D119" s="101">
        <v>6.0000000000000001E-3</v>
      </c>
      <c r="E119" s="84">
        <f>C113*D119</f>
        <v>12.939618947870999</v>
      </c>
      <c r="F119" s="14"/>
      <c r="G119" s="14"/>
      <c r="H119" s="14"/>
      <c r="I119" s="14"/>
    </row>
    <row r="120" spans="2:9" ht="15.75" x14ac:dyDescent="0.25">
      <c r="B120" s="255" t="s">
        <v>50</v>
      </c>
      <c r="C120" s="256"/>
      <c r="D120" s="101">
        <v>2E-3</v>
      </c>
      <c r="E120" s="84">
        <f>C113*D120</f>
        <v>4.3132063159570002</v>
      </c>
      <c r="F120" s="14"/>
      <c r="G120" s="14"/>
      <c r="H120" s="14"/>
      <c r="I120" s="14"/>
    </row>
    <row r="121" spans="2:9" ht="15.75" x14ac:dyDescent="0.25">
      <c r="B121" s="269" t="s">
        <v>51</v>
      </c>
      <c r="C121" s="270"/>
      <c r="D121" s="107">
        <v>0.28799999999999998</v>
      </c>
      <c r="E121" s="89">
        <f>C113*D121</f>
        <v>621.10170949780797</v>
      </c>
      <c r="F121" s="14"/>
      <c r="G121" s="14"/>
      <c r="H121" s="14"/>
      <c r="I121" s="14"/>
    </row>
    <row r="122" spans="2:9" ht="15.75" x14ac:dyDescent="0.25">
      <c r="B122" s="255" t="s">
        <v>52</v>
      </c>
      <c r="C122" s="256"/>
      <c r="D122" s="101">
        <v>0.08</v>
      </c>
      <c r="E122" s="84">
        <f>C113*D122</f>
        <v>172.52825263828001</v>
      </c>
      <c r="F122" s="14"/>
      <c r="G122" s="14"/>
      <c r="H122" s="14"/>
      <c r="I122" s="14"/>
    </row>
    <row r="123" spans="2:9" ht="16.5" thickBot="1" x14ac:dyDescent="0.3">
      <c r="B123" s="271" t="s">
        <v>53</v>
      </c>
      <c r="C123" s="272"/>
      <c r="D123" s="108">
        <v>0.36799999999999999</v>
      </c>
      <c r="E123" s="90">
        <f>C113*D123</f>
        <v>793.6299621360879</v>
      </c>
      <c r="F123" s="14"/>
      <c r="G123" s="14"/>
      <c r="H123" s="14"/>
      <c r="I123" s="14"/>
    </row>
    <row r="124" spans="2:9" ht="16.5" thickBot="1" x14ac:dyDescent="0.3">
      <c r="B124" s="250" t="s">
        <v>155</v>
      </c>
      <c r="C124" s="251"/>
      <c r="D124" s="251"/>
      <c r="E124" s="252"/>
      <c r="F124" s="14"/>
      <c r="G124" s="14"/>
      <c r="H124" s="14"/>
      <c r="I124" s="14"/>
    </row>
    <row r="125" spans="2:9" ht="15.75" x14ac:dyDescent="0.25">
      <c r="B125" s="267" t="s">
        <v>54</v>
      </c>
      <c r="C125" s="268"/>
      <c r="D125" s="268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5" t="s">
        <v>55</v>
      </c>
      <c r="C126" s="256"/>
      <c r="D126" s="256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9" t="s">
        <v>53</v>
      </c>
      <c r="C127" s="220"/>
      <c r="D127" s="220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1" t="s">
        <v>157</v>
      </c>
      <c r="C128" s="232"/>
      <c r="D128" s="232"/>
      <c r="E128" s="90">
        <f>SUM(E127+E123+E111)</f>
        <v>1712.684120114588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8" t="s">
        <v>152</v>
      </c>
      <c r="C130" s="239"/>
      <c r="D130" s="239"/>
      <c r="E130" s="240"/>
      <c r="F130" s="14"/>
      <c r="G130" s="14"/>
      <c r="H130" s="14"/>
      <c r="I130" s="14"/>
    </row>
    <row r="131" spans="2:9" ht="16.5" thickBot="1" x14ac:dyDescent="0.3">
      <c r="B131" s="250" t="s">
        <v>56</v>
      </c>
      <c r="C131" s="251"/>
      <c r="D131" s="251"/>
      <c r="E131" s="252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2897.2324106167798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5" t="s">
        <v>56</v>
      </c>
      <c r="C133" s="256"/>
      <c r="D133" s="184"/>
      <c r="E133" s="84">
        <f>C132/12</f>
        <v>241.43603421806498</v>
      </c>
      <c r="F133" s="14"/>
      <c r="G133" s="14"/>
      <c r="H133" s="14"/>
      <c r="I133" s="14"/>
    </row>
    <row r="134" spans="2:9" ht="15.75" x14ac:dyDescent="0.25">
      <c r="B134" s="255" t="s">
        <v>57</v>
      </c>
      <c r="C134" s="256"/>
      <c r="D134" s="94">
        <v>0.08</v>
      </c>
      <c r="E134" s="84">
        <f>E133*D134</f>
        <v>19.314882737445199</v>
      </c>
      <c r="F134" s="14"/>
      <c r="G134" s="14"/>
      <c r="H134" s="14"/>
      <c r="I134" s="14"/>
    </row>
    <row r="135" spans="2:9" ht="15.75" x14ac:dyDescent="0.25">
      <c r="B135" s="241" t="s">
        <v>58</v>
      </c>
      <c r="C135" s="257"/>
      <c r="D135" s="263">
        <v>0.5</v>
      </c>
      <c r="E135" s="265">
        <f>E122*D135</f>
        <v>86.264126319140004</v>
      </c>
      <c r="F135" s="14"/>
      <c r="G135" s="14"/>
      <c r="H135" s="14"/>
      <c r="I135" s="14"/>
    </row>
    <row r="136" spans="2:9" ht="15.75" x14ac:dyDescent="0.25">
      <c r="B136" s="261" t="s">
        <v>59</v>
      </c>
      <c r="C136" s="262"/>
      <c r="D136" s="264"/>
      <c r="E136" s="266"/>
      <c r="F136" s="14"/>
      <c r="G136" s="14"/>
      <c r="H136" s="14"/>
      <c r="I136" s="14"/>
    </row>
    <row r="137" spans="2:9" ht="16.5" thickBot="1" x14ac:dyDescent="0.3">
      <c r="B137" s="247" t="s">
        <v>53</v>
      </c>
      <c r="C137" s="248"/>
      <c r="D137" s="249"/>
      <c r="E137" s="102">
        <f>SUM(E133:E136)</f>
        <v>347.01504327465017</v>
      </c>
      <c r="F137" s="22"/>
      <c r="G137" s="18"/>
      <c r="H137" s="18"/>
      <c r="I137" s="14"/>
    </row>
    <row r="138" spans="2:9" ht="16.5" thickBot="1" x14ac:dyDescent="0.3">
      <c r="B138" s="250" t="s">
        <v>60</v>
      </c>
      <c r="C138" s="251"/>
      <c r="D138" s="251"/>
      <c r="E138" s="252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3518.3341201145877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5" t="s">
        <v>60</v>
      </c>
      <c r="C140" s="256"/>
      <c r="D140" s="184"/>
      <c r="E140" s="84">
        <f>C139/12</f>
        <v>293.19451000954899</v>
      </c>
      <c r="F140" s="71"/>
      <c r="G140" s="18"/>
      <c r="H140" s="18"/>
      <c r="I140" s="14"/>
    </row>
    <row r="141" spans="2:9" ht="15.75" x14ac:dyDescent="0.25">
      <c r="B141" s="255" t="s">
        <v>61</v>
      </c>
      <c r="C141" s="256"/>
      <c r="D141" s="101">
        <v>0.36799999999999999</v>
      </c>
      <c r="E141" s="84">
        <f>E140*D141</f>
        <v>107.89557968351403</v>
      </c>
      <c r="F141" s="25"/>
      <c r="G141" s="18"/>
      <c r="H141" s="18"/>
      <c r="I141" s="14"/>
    </row>
    <row r="142" spans="2:9" ht="15.75" x14ac:dyDescent="0.25">
      <c r="B142" s="241" t="s">
        <v>58</v>
      </c>
      <c r="C142" s="257"/>
      <c r="D142" s="258">
        <v>0.5</v>
      </c>
      <c r="E142" s="260">
        <f>E122*D142</f>
        <v>86.264126319140004</v>
      </c>
      <c r="F142" s="71"/>
      <c r="G142" s="18"/>
      <c r="H142" s="18"/>
      <c r="I142" s="14"/>
    </row>
    <row r="143" spans="2:9" ht="16.5" thickBot="1" x14ac:dyDescent="0.3">
      <c r="B143" s="261" t="s">
        <v>62</v>
      </c>
      <c r="C143" s="262"/>
      <c r="D143" s="259"/>
      <c r="E143" s="260"/>
      <c r="F143" s="61"/>
      <c r="G143" s="18"/>
      <c r="H143" s="18"/>
      <c r="I143" s="14"/>
    </row>
    <row r="144" spans="2:9" ht="16.5" thickBot="1" x14ac:dyDescent="0.3">
      <c r="B144" s="247" t="s">
        <v>53</v>
      </c>
      <c r="C144" s="248"/>
      <c r="D144" s="249"/>
      <c r="E144" s="102">
        <f>SUM(E140:E143)</f>
        <v>487.35421601220304</v>
      </c>
      <c r="F144" s="182"/>
      <c r="G144" s="233" t="s">
        <v>149</v>
      </c>
      <c r="H144" s="235"/>
      <c r="I144" s="14"/>
    </row>
    <row r="145" spans="1:12" ht="16.5" thickBot="1" x14ac:dyDescent="0.3">
      <c r="A145" s="1"/>
      <c r="B145" s="250" t="s">
        <v>164</v>
      </c>
      <c r="C145" s="251"/>
      <c r="D145" s="251"/>
      <c r="E145" s="252"/>
      <c r="F145" s="182"/>
      <c r="G145" s="183" t="s">
        <v>160</v>
      </c>
      <c r="H145" s="84">
        <f>H104</f>
        <v>1805.6499999999999</v>
      </c>
      <c r="I145" s="14"/>
    </row>
    <row r="146" spans="1:12" ht="15.75" x14ac:dyDescent="0.25">
      <c r="A146" s="1"/>
      <c r="B146" s="253" t="s">
        <v>162</v>
      </c>
      <c r="C146" s="254"/>
      <c r="D146" s="96">
        <v>0.05</v>
      </c>
      <c r="E146" s="97">
        <f>-E111*D146</f>
        <v>-17.547657898924999</v>
      </c>
      <c r="F146" s="182"/>
      <c r="G146" s="183" t="s">
        <v>84</v>
      </c>
      <c r="H146" s="84">
        <f>E128</f>
        <v>1712.684120114588</v>
      </c>
      <c r="I146" s="14"/>
    </row>
    <row r="147" spans="1:12" ht="16.5" thickBot="1" x14ac:dyDescent="0.3">
      <c r="A147" s="1"/>
      <c r="B147" s="247" t="s">
        <v>53</v>
      </c>
      <c r="C147" s="248"/>
      <c r="D147" s="249"/>
      <c r="E147" s="90">
        <f>E146</f>
        <v>-17.547657898924999</v>
      </c>
      <c r="F147" s="182"/>
      <c r="G147" s="183" t="s">
        <v>161</v>
      </c>
      <c r="H147" s="84">
        <f>E148</f>
        <v>816.82160138792824</v>
      </c>
      <c r="I147" s="14"/>
    </row>
    <row r="148" spans="1:12" ht="16.5" thickBot="1" x14ac:dyDescent="0.3">
      <c r="A148" s="1"/>
      <c r="B148" s="231" t="s">
        <v>158</v>
      </c>
      <c r="C148" s="232"/>
      <c r="D148" s="232"/>
      <c r="E148" s="90">
        <f>SUM(E147+E144+E137)</f>
        <v>816.82160138792824</v>
      </c>
      <c r="F148" s="182"/>
      <c r="G148" s="179" t="s">
        <v>159</v>
      </c>
      <c r="H148" s="157">
        <f>SUM(H145:H147)</f>
        <v>4335.1557215025159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3" t="s">
        <v>82</v>
      </c>
      <c r="C151" s="234"/>
      <c r="D151" s="234"/>
      <c r="E151" s="234"/>
      <c r="F151" s="234"/>
      <c r="G151" s="234"/>
      <c r="H151" s="234"/>
      <c r="I151" s="235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8" t="s">
        <v>148</v>
      </c>
      <c r="C153" s="239"/>
      <c r="D153" s="239"/>
      <c r="E153" s="240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6909.7704311882171</v>
      </c>
      <c r="D155" s="94">
        <v>0.05</v>
      </c>
      <c r="E155" s="84">
        <f>C155*D155</f>
        <v>345.48852155941086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7255.2589527476284</v>
      </c>
      <c r="D156" s="94">
        <v>0.1</v>
      </c>
      <c r="E156" s="84">
        <f>C156*D156</f>
        <v>725.52589527476289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1"/>
      <c r="C157" s="242"/>
      <c r="D157" s="242"/>
      <c r="E157" s="84">
        <f>E156+C156</f>
        <v>7980.7848480223911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9" t="s">
        <v>67</v>
      </c>
      <c r="C158" s="220"/>
      <c r="D158" s="220"/>
      <c r="E158" s="243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4" t="s">
        <v>163</v>
      </c>
      <c r="C159" s="245"/>
      <c r="D159" s="94">
        <v>0.06</v>
      </c>
      <c r="E159" s="84">
        <f>E163*D159</f>
        <v>509.41179880993991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4" t="s">
        <v>166</v>
      </c>
      <c r="C160" s="246"/>
      <c r="D160" s="101">
        <v>0.1225</v>
      </c>
      <c r="E160" s="84">
        <f>E164*D160</f>
        <v>1114.1266596954335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3" t="s">
        <v>168</v>
      </c>
      <c r="C161" s="224"/>
      <c r="D161" s="225"/>
      <c r="E161" s="89">
        <f>E159+E156+E155</f>
        <v>1580.4262156441137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6" t="s">
        <v>167</v>
      </c>
      <c r="C162" s="227"/>
      <c r="D162" s="228"/>
      <c r="E162" s="102">
        <f>E160+E155+E156</f>
        <v>2185.1410765296073</v>
      </c>
      <c r="F162" s="14"/>
      <c r="I162" s="18"/>
      <c r="J162" s="18"/>
      <c r="K162" s="18"/>
      <c r="L162" s="18"/>
    </row>
    <row r="163" spans="2:12" ht="16.5" thickBot="1" x14ac:dyDescent="0.3">
      <c r="B163" s="229" t="s">
        <v>169</v>
      </c>
      <c r="C163" s="230"/>
      <c r="D163" s="230"/>
      <c r="E163" s="144">
        <f>E157/(1-D159)</f>
        <v>8490.1966468323317</v>
      </c>
      <c r="F163" s="14"/>
      <c r="I163" s="22"/>
      <c r="J163" s="22"/>
      <c r="K163" s="22"/>
      <c r="L163" s="22"/>
    </row>
    <row r="164" spans="2:12" ht="16.5" thickBot="1" x14ac:dyDescent="0.3">
      <c r="B164" s="231" t="s">
        <v>170</v>
      </c>
      <c r="C164" s="232"/>
      <c r="D164" s="232"/>
      <c r="E164" s="90">
        <f>E157/(1-D160)</f>
        <v>9094.9115077178249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3" t="s">
        <v>68</v>
      </c>
      <c r="C166" s="234"/>
      <c r="D166" s="234"/>
      <c r="E166" s="235"/>
      <c r="F166" s="14"/>
      <c r="I166" s="22"/>
      <c r="J166" s="22"/>
      <c r="K166" s="22"/>
      <c r="L166" s="33"/>
    </row>
    <row r="167" spans="2:12" ht="15.75" x14ac:dyDescent="0.25">
      <c r="B167" s="236" t="s">
        <v>181</v>
      </c>
      <c r="C167" s="237"/>
      <c r="D167" s="237"/>
      <c r="E167" s="88">
        <f>H148*I33</f>
        <v>2257.8936049492268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9" t="s">
        <v>69</v>
      </c>
      <c r="C168" s="220"/>
      <c r="D168" s="220"/>
      <c r="E168" s="89">
        <f>G84</f>
        <v>2574.6147096857012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9" t="s">
        <v>171</v>
      </c>
      <c r="C169" s="220"/>
      <c r="D169" s="220"/>
      <c r="E169" s="89">
        <f>E161</f>
        <v>1580.4262156441137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9" t="s">
        <v>172</v>
      </c>
      <c r="C170" s="220"/>
      <c r="D170" s="220"/>
      <c r="E170" s="89">
        <f>E162</f>
        <v>2185.1410765296073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9" t="s">
        <v>173</v>
      </c>
      <c r="C171" s="220"/>
      <c r="D171" s="220"/>
      <c r="E171" s="89">
        <f>SUM(E167:E169)</f>
        <v>6412.9345302790416</v>
      </c>
      <c r="F171" s="26"/>
      <c r="G171" s="6"/>
      <c r="H171" s="6"/>
    </row>
    <row r="172" spans="2:12" ht="16.5" thickBot="1" x14ac:dyDescent="0.3">
      <c r="B172" s="221" t="s">
        <v>174</v>
      </c>
      <c r="C172" s="222"/>
      <c r="D172" s="222"/>
      <c r="E172" s="102">
        <f>E167+E168+E170</f>
        <v>7017.6493911645357</v>
      </c>
      <c r="F172" s="26"/>
      <c r="G172" s="6"/>
      <c r="H172" s="6"/>
    </row>
    <row r="173" spans="2:12" ht="16.5" thickBot="1" x14ac:dyDescent="0.3">
      <c r="B173" s="213" t="s">
        <v>175</v>
      </c>
      <c r="C173" s="214"/>
      <c r="D173" s="214"/>
      <c r="E173" s="145">
        <f>E171/I12</f>
        <v>5.8786261953808738</v>
      </c>
      <c r="F173" s="26"/>
      <c r="G173" s="6"/>
      <c r="H173" s="6"/>
    </row>
    <row r="174" spans="2:12" ht="16.5" thickBot="1" x14ac:dyDescent="0.3">
      <c r="B174" s="213" t="s">
        <v>176</v>
      </c>
      <c r="C174" s="214"/>
      <c r="D174" s="214"/>
      <c r="E174" s="145">
        <f>E172/I12</f>
        <v>6.4329578519965667</v>
      </c>
      <c r="F174" s="26"/>
      <c r="G174" s="6"/>
      <c r="H174" s="6"/>
    </row>
    <row r="175" spans="2:12" ht="16.5" thickBot="1" x14ac:dyDescent="0.3">
      <c r="B175" s="215" t="s">
        <v>177</v>
      </c>
      <c r="C175" s="216"/>
      <c r="D175" s="216"/>
      <c r="E175" s="146">
        <f>E171/I9</f>
        <v>106.88224217131736</v>
      </c>
      <c r="F175" s="26"/>
      <c r="G175" s="6"/>
      <c r="H175" s="6"/>
    </row>
    <row r="176" spans="2:12" ht="16.5" thickBot="1" x14ac:dyDescent="0.3">
      <c r="B176" s="217" t="s">
        <v>178</v>
      </c>
      <c r="C176" s="218"/>
      <c r="D176" s="218"/>
      <c r="E176" s="147">
        <f>E172/I9</f>
        <v>116.9608231860756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5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Resumo</vt:lpstr>
      <vt:lpstr>Trajeto 1</vt:lpstr>
      <vt:lpstr>Trajeto 2</vt:lpstr>
      <vt:lpstr>Trajeto 3</vt:lpstr>
      <vt:lpstr>Trajeto 4</vt:lpstr>
      <vt:lpstr>Trajeto 5</vt:lpstr>
      <vt:lpstr>Trajeto 6</vt:lpstr>
      <vt:lpstr>Trajeto 7</vt:lpstr>
      <vt:lpstr>Trajeto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Panno</dc:creator>
  <cp:lastModifiedBy>SMADM06</cp:lastModifiedBy>
  <cp:lastPrinted>2022-01-12T16:50:22Z</cp:lastPrinted>
  <dcterms:created xsi:type="dcterms:W3CDTF">2021-02-10T19:17:13Z</dcterms:created>
  <dcterms:modified xsi:type="dcterms:W3CDTF">2022-03-03T14:12:14Z</dcterms:modified>
</cp:coreProperties>
</file>