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910" windowHeight="9840"/>
  </bookViews>
  <sheets>
    <sheet name="Orçamento" sheetId="1" r:id="rId1"/>
    <sheet name="Cronograma" sheetId="2" r:id="rId2"/>
    <sheet name="BDI" sheetId="3" r:id="rId3"/>
  </sheets>
  <externalReferences>
    <externalReference r:id="rId4"/>
  </externalReferences>
  <definedNames>
    <definedName name="_xlnm.Database">TEXT(Import.DataBase,"mm-aaaa")</definedName>
    <definedName name="Dados.Lista.BDI">[1]DADOS!$T$37:$X$37</definedName>
    <definedName name="Import.DataBase">[1]DADOS!$A$38</definedName>
    <definedName name="PO.CustoUnitario">ROUND(Orçamento!$Q1,15-13*Orçamento!$X$4)</definedName>
    <definedName name="PO.PrecoUnitario">ROUND(Orçamento!$S1,15-13*Orçamento!$X$6)</definedName>
    <definedName name="PO.Quantidade">ROUND(Orçamento!$P1,15-13*Orçamento!$X$3)</definedName>
    <definedName name="Referencia.Unidade">IF(ISNUMBER([1]PO!linhaSINAPIxls),INDEX(INDIRECT("'[Referência "&amp;_xlnm.Database&amp;".xls]Banco'!$b:$g"),[1]PO!linhaSINAPIxls,4),"")</definedName>
    <definedName name="SomaAgrup">SUMIF(OFFSET(Orçamento!$A1,1,0,Orçamento!$B1),"S",OFFSET(Orçamento!A1,1,0,Orçamento!$B1))</definedName>
    <definedName name="TipoOrçamento">"BASE"</definedName>
    <definedName name="VTOTAL1">ROUND(PO.Quantidade*PO.PrecoUnitario,15-13*Orçamento!$X$7)</definedName>
  </definedNames>
  <calcPr calcId="145621"/>
</workbook>
</file>

<file path=xl/calcChain.xml><?xml version="1.0" encoding="utf-8"?>
<calcChain xmlns="http://schemas.openxmlformats.org/spreadsheetml/2006/main">
  <c r="H14" i="2" l="1"/>
  <c r="I14" i="2"/>
  <c r="F14" i="2"/>
  <c r="K8" i="2"/>
  <c r="K10" i="2"/>
  <c r="K12" i="2"/>
  <c r="K14" i="2"/>
  <c r="K16" i="2"/>
  <c r="K18" i="2"/>
  <c r="K20" i="2"/>
  <c r="K22" i="2"/>
  <c r="K6" i="2"/>
  <c r="K73" i="1"/>
  <c r="J84" i="1"/>
  <c r="J80" i="1"/>
  <c r="J74" i="1"/>
  <c r="J58" i="1"/>
  <c r="J47" i="1"/>
  <c r="J40" i="1"/>
  <c r="J28" i="1"/>
  <c r="J23" i="1"/>
  <c r="J14" i="1"/>
  <c r="J9" i="1"/>
  <c r="K74" i="1"/>
  <c r="K84" i="1"/>
  <c r="K80" i="1"/>
  <c r="K58" i="1"/>
  <c r="K47" i="1"/>
  <c r="K40" i="1"/>
  <c r="K28" i="1"/>
  <c r="K23" i="1"/>
  <c r="K14" i="1"/>
  <c r="K9" i="1"/>
  <c r="I11" i="1"/>
  <c r="I12" i="1"/>
  <c r="I13" i="1"/>
  <c r="I15" i="1"/>
  <c r="I16" i="1"/>
  <c r="I17" i="1"/>
  <c r="I18" i="1"/>
  <c r="I19" i="1"/>
  <c r="I20" i="1"/>
  <c r="I21" i="1"/>
  <c r="I22" i="1"/>
  <c r="I24" i="1"/>
  <c r="I25" i="1"/>
  <c r="I26" i="1"/>
  <c r="I27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8" i="1"/>
  <c r="I49" i="1"/>
  <c r="I50" i="1"/>
  <c r="I51" i="1"/>
  <c r="I52" i="1"/>
  <c r="I53" i="1"/>
  <c r="I54" i="1"/>
  <c r="I55" i="1"/>
  <c r="I56" i="1"/>
  <c r="I57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5" i="1"/>
  <c r="I76" i="1"/>
  <c r="I77" i="1"/>
  <c r="I78" i="1"/>
  <c r="I79" i="1"/>
  <c r="I81" i="1"/>
  <c r="I82" i="1"/>
  <c r="I83" i="1"/>
  <c r="I85" i="1"/>
  <c r="I86" i="1"/>
  <c r="I10" i="1"/>
  <c r="G4" i="1" l="1"/>
  <c r="J73" i="1"/>
  <c r="A26" i="3" l="1"/>
  <c r="D23" i="3"/>
  <c r="E24" i="3" l="1"/>
  <c r="A28" i="3"/>
  <c r="G21" i="3"/>
  <c r="A13" i="3" l="1"/>
  <c r="E23" i="3"/>
  <c r="A15" i="3"/>
  <c r="E14" i="3"/>
  <c r="E12" i="3"/>
  <c r="A16" i="3"/>
  <c r="A14" i="3"/>
  <c r="E16" i="3"/>
  <c r="E13" i="3"/>
  <c r="E15" i="3"/>
  <c r="A12" i="3"/>
  <c r="G19" i="3"/>
  <c r="K4" i="2" l="1"/>
  <c r="G20" i="3"/>
  <c r="F21" i="3"/>
</calcChain>
</file>

<file path=xl/sharedStrings.xml><?xml version="1.0" encoding="utf-8"?>
<sst xmlns="http://schemas.openxmlformats.org/spreadsheetml/2006/main" count="512" uniqueCount="268">
  <si>
    <t>Item</t>
  </si>
  <si>
    <t>Fonte</t>
  </si>
  <si>
    <t>Código</t>
  </si>
  <si>
    <t>Descrição</t>
  </si>
  <si>
    <t>Unidade</t>
  </si>
  <si>
    <t>Quantidade</t>
  </si>
  <si>
    <t>Custo Unitário (R$)</t>
  </si>
  <si>
    <t>Preço Total
(R$)</t>
  </si>
  <si>
    <t>1.</t>
  </si>
  <si>
    <t>SERVIÇOS PRELIMINARES</t>
  </si>
  <si>
    <t>SINAPI</t>
  </si>
  <si>
    <t>74209/1</t>
  </si>
  <si>
    <t>2.</t>
  </si>
  <si>
    <t>3.</t>
  </si>
  <si>
    <t>COTAÇÃO</t>
  </si>
  <si>
    <t>4.</t>
  </si>
  <si>
    <t>PAVIMENTAÇÃO</t>
  </si>
  <si>
    <t>5.</t>
  </si>
  <si>
    <t>SINALIZAÇÃO</t>
  </si>
  <si>
    <t>6.</t>
  </si>
  <si>
    <t>COMPOSIÇÃO</t>
  </si>
  <si>
    <t>7.</t>
  </si>
  <si>
    <t>8.</t>
  </si>
  <si>
    <t>Encargos sociais:</t>
  </si>
  <si>
    <t>Para elaboração deste orçamento, foram utilizados os encargos sociais do SINAPI para a Unidade da Federação indicada.</t>
  </si>
  <si>
    <t>Município de Monte Belo do Sul - RS</t>
  </si>
  <si>
    <t>Descrição do objeto:</t>
  </si>
  <si>
    <t>Localidade:</t>
  </si>
  <si>
    <t>Área:</t>
  </si>
  <si>
    <t>BDI:</t>
  </si>
  <si>
    <t>______________________________________</t>
  </si>
  <si>
    <t>PLANILHA ORÇAMENTÁRIA</t>
  </si>
  <si>
    <t>CRONOGRAMA FÍSICO FINANCEIRO</t>
  </si>
  <si>
    <t>Ìtem</t>
  </si>
  <si>
    <t>Descrição dos Metas</t>
  </si>
  <si>
    <t>Valores Totais</t>
  </si>
  <si>
    <t>MÊS 01</t>
  </si>
  <si>
    <t>MÊS 02</t>
  </si>
  <si>
    <t>MÊS 03</t>
  </si>
  <si>
    <t>MÊS 04</t>
  </si>
  <si>
    <t>MÊS 05</t>
  </si>
  <si>
    <t>MÊS 06</t>
  </si>
  <si>
    <t>TIPO DE OBRA DO EMPREENDIMENTO</t>
  </si>
  <si>
    <t>DESONERAÇÃO</t>
  </si>
  <si>
    <t>Construção de Praças Urbanas, Rodovias, Ferrovias e recapeamento e pavimentação de vias urbanas</t>
  </si>
  <si>
    <t>Conforme legislação tributária municipal, definir estimativa de percentual da base de cálculo para o ISS:</t>
  </si>
  <si>
    <t>Sobre a base de cálculo, definir a respectiva alíquota do ISS (entre 2% e 5%):</t>
  </si>
  <si>
    <t>Itens</t>
  </si>
  <si>
    <t>Siglas</t>
  </si>
  <si>
    <t>% Adotado</t>
  </si>
  <si>
    <t>Situação</t>
  </si>
  <si>
    <t>1º Quartil</t>
  </si>
  <si>
    <t>Médio</t>
  </si>
  <si>
    <t>3º Quartil</t>
  </si>
  <si>
    <t>-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</si>
  <si>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</si>
  <si>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</si>
  <si>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</si>
  <si>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</si>
  <si>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</si>
  <si>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</si>
  <si>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SEM desoneração
(Fórmula Acórdão TCU)</t>
  </si>
  <si>
    <t>BDI PAD</t>
  </si>
  <si>
    <t>BDI COM desoneração</t>
  </si>
  <si>
    <t>BDI DES</t>
  </si>
  <si>
    <t>Os valores de BDI foram calculados com o emprego da fórmula:</t>
  </si>
  <si>
    <t xml:space="preserve"> - 1</t>
  </si>
  <si>
    <t>Observações:</t>
  </si>
  <si>
    <t/>
  </si>
  <si>
    <t>M</t>
  </si>
  <si>
    <t>90695</t>
  </si>
  <si>
    <t>M2</t>
  </si>
  <si>
    <t>98458</t>
  </si>
  <si>
    <t>H</t>
  </si>
  <si>
    <t>M3</t>
  </si>
  <si>
    <t>83668</t>
  </si>
  <si>
    <t>83676</t>
  </si>
  <si>
    <t>73856/2</t>
  </si>
  <si>
    <t>83659</t>
  </si>
  <si>
    <t>VIDRO FANTASIA TIPO CANELADO, ESPESSURA 4MM</t>
  </si>
  <si>
    <t>94963</t>
  </si>
  <si>
    <t>85233</t>
  </si>
  <si>
    <t>91834</t>
  </si>
  <si>
    <t>91926</t>
  </si>
  <si>
    <t>92019</t>
  </si>
  <si>
    <t>97593</t>
  </si>
  <si>
    <t>73769/4</t>
  </si>
  <si>
    <t>83478</t>
  </si>
  <si>
    <t>74166/1</t>
  </si>
  <si>
    <t>93369</t>
  </si>
  <si>
    <t>94103</t>
  </si>
  <si>
    <t>73774/1</t>
  </si>
  <si>
    <t>84666</t>
  </si>
  <si>
    <t>PISOS</t>
  </si>
  <si>
    <t>72183</t>
  </si>
  <si>
    <t>97635</t>
  </si>
  <si>
    <t>98511</t>
  </si>
  <si>
    <t>98504</t>
  </si>
  <si>
    <t>90776</t>
  </si>
  <si>
    <t>90778</t>
  </si>
  <si>
    <t>REVITALIZAÇÃO PRAÇA PADRE JOSÉ FERLIN</t>
  </si>
  <si>
    <t>Meta</t>
  </si>
  <si>
    <t>DIVERSOS</t>
  </si>
  <si>
    <t>BDI 1</t>
  </si>
  <si>
    <t>Serviço</t>
  </si>
  <si>
    <t>PLACA DE OBRA EM CHAPA DE AÇO GALVANIZADO</t>
  </si>
  <si>
    <t>TAPUME COM COMPENSADO DE MADEIRA</t>
  </si>
  <si>
    <t xml:space="preserve">ENGENHEIRO CIVIL DE OBRA PLENO COM ENGARGOS COMPLEMENTARES </t>
  </si>
  <si>
    <t>ENCARREGADO GERAL COM ENCARGOS  COMPLEMENTARES</t>
  </si>
  <si>
    <t xml:space="preserve">DEMOLIÇÃO DE PAVIMENTO INTERTRAVADO, DE FORMA MANUAL, COM REAPROVEITAMENTO </t>
  </si>
  <si>
    <t xml:space="preserve">CAMADA DRENANTE COM BRITA </t>
  </si>
  <si>
    <t>3</t>
  </si>
  <si>
    <t xml:space="preserve">BASALTO MODELO 1 </t>
  </si>
  <si>
    <t xml:space="preserve">BASALTO NATURAL MODELO 2 </t>
  </si>
  <si>
    <t xml:space="preserve">PISO EM CONCRETO 20MPA PREPARO MECANICO, ESPESSURA 7 CM, COM ARAMÇÃO EM TELA SOLDADA </t>
  </si>
  <si>
    <t>POLIMENTO E ENCERAMENTO EM PISO DE CONCRETO</t>
  </si>
  <si>
    <t xml:space="preserve">BANCOS EM CONCRETO ARMADO POLIDO </t>
  </si>
  <si>
    <t>36178</t>
  </si>
  <si>
    <t>PISO PODOTÁTIL DE CONCRETO</t>
  </si>
  <si>
    <t>AJARDINAMENTO</t>
  </si>
  <si>
    <t xml:space="preserve">PLANTIO DE ÁRVORE ORNAMENTAL </t>
  </si>
  <si>
    <t>UNID.</t>
  </si>
  <si>
    <t>PLANTIO DE GRAMA EM PLACAS</t>
  </si>
  <si>
    <t>CONCRETO FCK=15MPA, TRAÇO 1:3,4:3,5 (CIMENTO/AREIA MÉDIA/BRITA1) - PREPARO MECÂNICO COM BETORNEIRA</t>
  </si>
  <si>
    <t>1</t>
  </si>
  <si>
    <t>LIXEIRA DUPLA DE METAL E MADEIRA</t>
  </si>
  <si>
    <t>ILUMINAÇÃO</t>
  </si>
  <si>
    <t>LUMIÁRIA TIPO SPOT, DE EMBUTIR, COM 1 LÂMPADA DE15 W , COM FOTOCÉLULA - FORNECIMENTO E INSTALAÇÃO</t>
  </si>
  <si>
    <t xml:space="preserve">ELETRODUTO FLEXÍVEL CORRUGADO, PVC, DN 25 MM, PARA CIRCUITOS TERMINAIS, INSTALADO EM FORRO - FORNECIMENTO E INSTALAÇÃO </t>
  </si>
  <si>
    <t xml:space="preserve">CABO DE COBRE FLEXÍVEL ISOLADO, 2,5 MM², ANTI-CHAMA 450/750 V, PARA CIRCUITOS TERMINAIS - FORN. E INST. </t>
  </si>
  <si>
    <t xml:space="preserve">CAIXA DE INSPEÇÃO EM CONCRETO RÉ-MOLDADO DN 60CM COM TAMPA H= 60CM - FORN. E INST. </t>
  </si>
  <si>
    <t>COBRETO FCK= 15 MPA, TRAÇO 1:3,4:3,5 (CIMENTO/AREIA MÉDIA/BRITA 1) - PREPARO MECÂNICO COM BETORNEIRA 400L</t>
  </si>
  <si>
    <t>POSTE DE AÇO, ENGASTADO, H=2,8M - FORN. E INST.</t>
  </si>
  <si>
    <t>LUMINÁRIA FECHADA PARA ILUMINAÇÃO PÚBLICA - LÂMPADAS DE 250/500W - FORN. E INST.</t>
  </si>
  <si>
    <t>3749</t>
  </si>
  <si>
    <t>LÂMPADA VAPOR MERCURIO 250 W (BASE E40)</t>
  </si>
  <si>
    <t>CAMADA DRENANTE COM BRITA NUM. 2</t>
  </si>
  <si>
    <t>2</t>
  </si>
  <si>
    <t>CAIXA DE PASSAGEM DE FIAÇÃO EM SOLO</t>
  </si>
  <si>
    <t>TOMADAS PARA CAIXA DE PASSAGEM, 4 MÓDULOS, INCLUINDO SUPORTE E PLACA</t>
  </si>
  <si>
    <t>DRENAGEM</t>
  </si>
  <si>
    <t>LASTRO DE VALA COM PREPARO DE FUNDO, LARGURA MENOR QUE 1,5 M, COM CAMADA DE BRITA, LANÇAMENTO MANUAL, EM LOCAL DE NÍVEL BAIXO DE INTERFERÊNCIA</t>
  </si>
  <si>
    <t>TUBO DE CONCRETO SIMPLES DN 300 MM PARA DRENAGEM - FORN. E INST. INCLUSIVE ESCAVAÇÃO MANUAL</t>
  </si>
  <si>
    <t>REATERRO DE BUEIROS</t>
  </si>
  <si>
    <t xml:space="preserve">BOCA DE LOBO EM ALVENARIA TIJOLO MACIÇO, REVESTIDA C/ ARGAMASSA DE CIMENTO E AREIA 1:3, SOBRE LASTRO  DE CONCRETO 10CM E TAMPA DE CONCRETO ARMADO </t>
  </si>
  <si>
    <t>BOCA PARA BUEIRO  SIMPLES ANTI-ODOR</t>
  </si>
  <si>
    <t xml:space="preserve">TUBO DE PVC PARA REDE COLETORA DE ESGOTO DE PAREDE MACIÇA, DN 150 MM, JUNTA ELÁSTICA, INSTALADO EM LOCAL C/ NÍVEL BAIXO DE INTERFERÊNCIAS - FORN. E ASSENTAMENTO </t>
  </si>
  <si>
    <t>ROTATÓRIA</t>
  </si>
  <si>
    <t>EXECUÇÃO E COMPACTAÇÃO DE BASE E OU SUB BASE COM SOLO ESTABILIZADO GRANULOMETRICAMENTE- EXCLUSIVE ESCAVAÇÃO, CARGA E TRANSPORTE E SOLO</t>
  </si>
  <si>
    <t xml:space="preserve">PLANTIO DE ÁRVORE ORNAMENTAL COM ALTURA DE MUDA MENOR OU IGUAL A 2,00 M </t>
  </si>
  <si>
    <t>PLANTIO DE FORRAÇÃO</t>
  </si>
  <si>
    <t>GUIA (MEIO-FIO) CONCRETO, MOLDADA IN LOCO EM TRECHO CURVO COM EXTRUSORA, 14 CM BASE X 30 CM ALTURA</t>
  </si>
  <si>
    <t>PINTURA ACRILICA PARA SINALIZAÇÃO HORIZONTAL (MEIO FIO) NA COR AMARELA</t>
  </si>
  <si>
    <t xml:space="preserve">TUBO DE AÇO GALVANIZADO COM COSTURA, CLASSE MÉDIA, CONEXÃO RANHADURA, DN  (2''), INSTALADO EM PRUMADAS - FORN. E INST. </t>
  </si>
  <si>
    <t>CONCRETO FCK=15MPA, TRAÇO 1:3,4:3,5 (CIMENTO/AREIA MÉDIA/BRITA1) - PREPARO MECÂNICO COM BETORNEIRA 400L</t>
  </si>
  <si>
    <t>PLACA DE SINALIZAÇÃO EM CHAPA DE ALUMINIO COM PINTURA REFLETIVA</t>
  </si>
  <si>
    <t>BANHEIROS</t>
  </si>
  <si>
    <t xml:space="preserve">DEMOLIÇÃO DE REVESTIMENTO CERÂMICO, DE FORMA MANUAL, SEM REAPROVEITAMENTO </t>
  </si>
  <si>
    <t>APLICAÇÃO E LIXAMENTO DE MASSA LÁTEX EM TETO, UMA DEMÃO</t>
  </si>
  <si>
    <t>REVESTIMENTO CERÂMICO PARA PISO COM PLACAS TIPO PORCELANATO DE DIMENSÕES 60X60 CM APLICADA EM AMBIENETES DE ÁREA MAIOR QUE 10M²</t>
  </si>
  <si>
    <t xml:space="preserve">REVESTIMENTO CERÂMICO PARA PAREDES INTERNAS COM PLACAS TIPO ESMALTADA EXTRA DE DIMENSÕES 33X45 CM APLICDAS EM AMBIENTES DE ÁREA MAIOR QUE 5 M² NA ALTURA INTEIRA DAS PAREDES </t>
  </si>
  <si>
    <t xml:space="preserve">REMOÇÃO DE VIDRO COMUM </t>
  </si>
  <si>
    <t>SOLEIRA EM GRANITO, LARGURA 15 CM , ESPESSURA 2,0 CM</t>
  </si>
  <si>
    <t>RETIRADA DE DIVISÓRIAS EM CHAPAS DE  MADEIRA, COM MONTANTES METÁLICOS</t>
  </si>
  <si>
    <t>DIVISÓRIA EM MARMORITE ESPESSURA 35 MM, CHUMBAMENTO NO PISO E PAREDE COM ARGAMASSA DE CIMENTO AREIA, POLIMENTO MANUAL, EXCLUSIVE FERRAGENS</t>
  </si>
  <si>
    <t xml:space="preserve">PORTA DE MADEIRA PARA PINTURA, SEMI-OCA (LEVE OU MÉDIA), 60X210CM, ESPESSURA DE 3,5CM, INCLUSO DOBRADIÇAS - FORN. E INST. </t>
  </si>
  <si>
    <t xml:space="preserve">PINTURA EPOXI NA COR BRANCA, INCLUSO LIXAMENTE E FUNDO PREPARADOR DAS PORTAS METÁLICAS EXTERNAS DOS BANHIEROS </t>
  </si>
  <si>
    <t xml:space="preserve">DEMOLIÇÃO DE GUARDA-CORPO EXISTENTE, DE FORMA MANUAL, SEM REAPROVEITAMENTO </t>
  </si>
  <si>
    <t>GUARDA-CORPO EM TUBO DE AÇO GALVANIZADO</t>
  </si>
  <si>
    <t xml:space="preserve"> TRAVESSIA ELEVADA</t>
  </si>
  <si>
    <t>Nível 2</t>
  </si>
  <si>
    <t>TRAVESSIA E RAMPA</t>
  </si>
  <si>
    <t>EXECUÇÃO DE VIA EM PISO INTERTRAVADO, COM BLOCO 16 FACES DE 22X11 CM, ESPESSURA 8 CM. COR VERMELHA</t>
  </si>
  <si>
    <t>EXECUÇÃO DE VIA EM PISO INTERTRAVADO, COM BLOCO 16 FACES DE 22X11 CM, ESPESSURA 8 CM. COR BRANCA</t>
  </si>
  <si>
    <t>SINALIZAÇÃO VERTICAL</t>
  </si>
  <si>
    <t xml:space="preserve">TUBO DE AÇO GALVANIZADO COM COSTURA, CLASSE MÉDIA, CONEXÃO RANHADURA, DN 50 (2''), INSTALADO EM PRUMADAS - FORN. E INST. </t>
  </si>
  <si>
    <t>CONCRETO FCK= 15MPA, TRAÇO 1:3,4:3,5 (CIMENTO/AREIA MÉDIA/BRITA 1) - PREPARO MECÂNICO COM BETORNEIRA 400L</t>
  </si>
  <si>
    <t>PLACA DE SINALIZAÇÃO EM CHAPA DE ALUMINIO COM PINTURA REFLETIVA, E = 2 MM</t>
  </si>
  <si>
    <t>LIMPEZA</t>
  </si>
  <si>
    <t>CARGA MANUAL DE ENTULHO EM CAMINHÃO BASCULANTE 6 M3</t>
  </si>
  <si>
    <t>LIMPEZA FINAL DA OBRA</t>
  </si>
  <si>
    <t>1.0.1.</t>
  </si>
  <si>
    <t>1.0.2.</t>
  </si>
  <si>
    <t>1.0.3.</t>
  </si>
  <si>
    <t>1.0.4.</t>
  </si>
  <si>
    <t>2.0.1.</t>
  </si>
  <si>
    <t>2.0.2.</t>
  </si>
  <si>
    <t>2.0.3.</t>
  </si>
  <si>
    <t>2.0.4.</t>
  </si>
  <si>
    <t>2.0.5.</t>
  </si>
  <si>
    <t>2.0.6.</t>
  </si>
  <si>
    <t>2.0.7.</t>
  </si>
  <si>
    <t>2.0.8.</t>
  </si>
  <si>
    <t>3.0.1.</t>
  </si>
  <si>
    <t>3.0.2.</t>
  </si>
  <si>
    <t>3.0.3.</t>
  </si>
  <si>
    <t>3.0.4.</t>
  </si>
  <si>
    <t>4.0.1.</t>
  </si>
  <si>
    <t>4.0.2.</t>
  </si>
  <si>
    <t>4.0.3.</t>
  </si>
  <si>
    <t>4.0.4.</t>
  </si>
  <si>
    <t>4.0.5.</t>
  </si>
  <si>
    <t>4.0.6.</t>
  </si>
  <si>
    <t>4.0.7.</t>
  </si>
  <si>
    <t>4.0.8.</t>
  </si>
  <si>
    <t>4.0.9.</t>
  </si>
  <si>
    <t>4.0.10.</t>
  </si>
  <si>
    <t>4.0.11.</t>
  </si>
  <si>
    <t>5.0.1.</t>
  </si>
  <si>
    <t>5.0.2.</t>
  </si>
  <si>
    <t>5.0.3.</t>
  </si>
  <si>
    <t>5.0.4.</t>
  </si>
  <si>
    <t>5.0.5.</t>
  </si>
  <si>
    <t>5.0.6.</t>
  </si>
  <si>
    <t>6.0.1.</t>
  </si>
  <si>
    <t>6.0.2.</t>
  </si>
  <si>
    <t>6.0.3.</t>
  </si>
  <si>
    <t>6.0.4.</t>
  </si>
  <si>
    <t>6.0.5.</t>
  </si>
  <si>
    <t>6.0.6.</t>
  </si>
  <si>
    <t>6.0.7.</t>
  </si>
  <si>
    <t>6.0.8.</t>
  </si>
  <si>
    <t>6.0.9.</t>
  </si>
  <si>
    <t>6.0.10.</t>
  </si>
  <si>
    <t>7.0.1.</t>
  </si>
  <si>
    <t>7.0.2.</t>
  </si>
  <si>
    <t>7.0.3.</t>
  </si>
  <si>
    <t>7.0.4.</t>
  </si>
  <si>
    <t>7.0.5.</t>
  </si>
  <si>
    <t>7.0.6.</t>
  </si>
  <si>
    <t>7.0.7.</t>
  </si>
  <si>
    <t>7.0.8.</t>
  </si>
  <si>
    <t>7.0.9.</t>
  </si>
  <si>
    <t>7.0.10.</t>
  </si>
  <si>
    <t>7.0.11.</t>
  </si>
  <si>
    <t>7.0.12.</t>
  </si>
  <si>
    <t>7.0.13.</t>
  </si>
  <si>
    <t>7.0.14.</t>
  </si>
  <si>
    <t>8.1.</t>
  </si>
  <si>
    <t>8.1.1.</t>
  </si>
  <si>
    <t>8.1.2.</t>
  </si>
  <si>
    <t>8.1.3.</t>
  </si>
  <si>
    <t>8.1.4.</t>
  </si>
  <si>
    <t>8.1.5.</t>
  </si>
  <si>
    <t>8.2.</t>
  </si>
  <si>
    <t>8.2.1.</t>
  </si>
  <si>
    <t>8.2.2.</t>
  </si>
  <si>
    <t>8.2.3.</t>
  </si>
  <si>
    <t>9.</t>
  </si>
  <si>
    <t>9.0.1.</t>
  </si>
  <si>
    <t>9.0.2.</t>
  </si>
  <si>
    <t>REVITALIZAÇÃO DA PRAÇA PADRE JOSÉ FERLIN</t>
  </si>
  <si>
    <t>THIAGO SUSSNBACH COSTA</t>
  </si>
  <si>
    <t>ARQUITETO E URBANISTA</t>
  </si>
  <si>
    <t>CAU A90637-9</t>
  </si>
  <si>
    <t>ADENIR JOSÉ DALLE</t>
  </si>
  <si>
    <t>PREFEITO MUNICIPAL DE MONTE BELO DO SUL</t>
  </si>
  <si>
    <t>SIM</t>
  </si>
  <si>
    <t>Praça Padre José Ferlin, BAIRRO CENTRO, MONTE BELO DO SUL - RS</t>
  </si>
  <si>
    <t>879,31m²</t>
  </si>
  <si>
    <t>Valor Total:</t>
  </si>
  <si>
    <t>TERRAPLENAGEM</t>
  </si>
  <si>
    <t>PAISAGISMO</t>
  </si>
  <si>
    <t>8.1</t>
  </si>
  <si>
    <t>INSTALAÇOES FINAIS</t>
  </si>
  <si>
    <t>Monte Belo do Sul, 05 de Julho de 2019</t>
  </si>
  <si>
    <t>Arq. Thiago Sussembach</t>
  </si>
  <si>
    <t>Arq Thiago Sussembach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</si>
</sst>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_(&quot;R$ &quot;* #,##0.00_);_(&quot;R$ &quot;* \(#,##0.00\);_(&quot;R$ &quot;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</font>
    <font>
      <sz val="20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2"/>
      <name val="Calibri"/>
      <family val="2"/>
    </font>
    <font>
      <i/>
      <u/>
      <sz val="12"/>
      <name val="Calibri"/>
      <family val="2"/>
    </font>
    <font>
      <u/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5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1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3" applyNumberFormat="0" applyFill="0" applyAlignment="0" applyProtection="0"/>
    <xf numFmtId="0" fontId="8" fillId="21" borderId="2" applyNumberForma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0" fillId="7" borderId="1" applyNumberFormat="0" applyAlignment="0" applyProtection="0"/>
    <xf numFmtId="0" fontId="4" fillId="0" borderId="0"/>
    <xf numFmtId="0" fontId="1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0" fillId="7" borderId="1" applyNumberFormat="0" applyAlignment="0" applyProtection="0"/>
    <xf numFmtId="0" fontId="9" fillId="0" borderId="3" applyNumberFormat="0" applyFill="0" applyAlignment="0" applyProtection="0"/>
    <xf numFmtId="165" fontId="3" fillId="0" borderId="0" applyFont="0" applyFill="0" applyBorder="0" applyAlignment="0" applyProtection="0"/>
    <xf numFmtId="0" fontId="12" fillId="22" borderId="0" applyNumberFormat="0" applyBorder="0" applyAlignment="0" applyProtection="0"/>
    <xf numFmtId="0" fontId="3" fillId="0" borderId="0"/>
    <xf numFmtId="0" fontId="3" fillId="0" borderId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3" fillId="20" borderId="8" applyNumberFormat="0" applyAlignment="0" applyProtection="0"/>
    <xf numFmtId="9" fontId="3" fillId="0" borderId="0" applyFont="0" applyFill="0" applyBorder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164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23" fillId="0" borderId="0"/>
  </cellStyleXfs>
  <cellXfs count="129">
    <xf numFmtId="0" fontId="0" fillId="0" borderId="0" xfId="0"/>
    <xf numFmtId="10" fontId="0" fillId="0" borderId="0" xfId="0" applyNumberFormat="1" applyFont="1" applyAlignment="1">
      <alignment horizontal="left" vertical="center"/>
    </xf>
    <xf numFmtId="9" fontId="0" fillId="0" borderId="0" xfId="3" applyFont="1" applyAlignment="1">
      <alignment horizontal="left" vertical="center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24" borderId="0" xfId="0" applyFill="1" applyAlignment="1">
      <alignment horizontal="left" vertical="center" wrapText="1"/>
    </xf>
    <xf numFmtId="44" fontId="0" fillId="0" borderId="0" xfId="2" applyFont="1" applyAlignment="1">
      <alignment horizontal="left" vertical="center"/>
    </xf>
    <xf numFmtId="0" fontId="0" fillId="0" borderId="0" xfId="0" applyAlignment="1">
      <alignment horizontal="left" vertical="center"/>
    </xf>
    <xf numFmtId="10" fontId="0" fillId="0" borderId="0" xfId="3" applyNumberFormat="1" applyFont="1" applyAlignment="1">
      <alignment horizontal="left" vertical="center"/>
    </xf>
    <xf numFmtId="10" fontId="0" fillId="0" borderId="11" xfId="0" applyNumberFormat="1" applyFont="1" applyFill="1" applyBorder="1" applyAlignment="1">
      <alignment horizontal="center" vertical="center"/>
    </xf>
    <xf numFmtId="44" fontId="0" fillId="0" borderId="12" xfId="2" applyFont="1" applyFill="1" applyBorder="1" applyAlignment="1">
      <alignment horizontal="center" vertical="center"/>
    </xf>
    <xf numFmtId="0" fontId="26" fillId="0" borderId="10" xfId="72" applyFont="1" applyBorder="1" applyAlignment="1" applyProtection="1">
      <alignment horizontal="center" vertical="center"/>
    </xf>
    <xf numFmtId="10" fontId="26" fillId="26" borderId="10" xfId="72" applyNumberFormat="1" applyFont="1" applyFill="1" applyBorder="1" applyAlignment="1" applyProtection="1">
      <alignment horizontal="center" vertical="center"/>
      <protection locked="0"/>
    </xf>
    <xf numFmtId="4" fontId="25" fillId="0" borderId="10" xfId="72" applyNumberFormat="1" applyFont="1" applyFill="1" applyBorder="1" applyAlignment="1" applyProtection="1">
      <alignment horizontal="center" vertical="center"/>
    </xf>
    <xf numFmtId="10" fontId="26" fillId="0" borderId="10" xfId="72" applyNumberFormat="1" applyFont="1" applyFill="1" applyBorder="1" applyAlignment="1" applyProtection="1">
      <alignment horizontal="center" vertical="center"/>
    </xf>
    <xf numFmtId="10" fontId="26" fillId="0" borderId="10" xfId="72" applyNumberFormat="1" applyFont="1" applyFill="1" applyBorder="1" applyAlignment="1" applyProtection="1">
      <alignment horizontal="center" vertical="center" wrapText="1"/>
    </xf>
    <xf numFmtId="0" fontId="26" fillId="0" borderId="10" xfId="72" applyFont="1" applyFill="1" applyBorder="1" applyAlignment="1" applyProtection="1">
      <alignment horizontal="center" vertical="center" wrapText="1"/>
    </xf>
    <xf numFmtId="0" fontId="3" fillId="0" borderId="0" xfId="72" applyFont="1" applyBorder="1" applyAlignment="1" applyProtection="1">
      <alignment horizontal="center" vertical="top"/>
    </xf>
    <xf numFmtId="0" fontId="29" fillId="0" borderId="0" xfId="72" applyFont="1" applyBorder="1" applyAlignment="1" applyProtection="1">
      <alignment horizontal="center" vertical="top"/>
    </xf>
    <xf numFmtId="4" fontId="25" fillId="0" borderId="10" xfId="7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horizontal="center" vertical="center"/>
    </xf>
    <xf numFmtId="44" fontId="0" fillId="0" borderId="13" xfId="2" applyFont="1" applyBorder="1" applyAlignment="1">
      <alignment horizontal="left" vertical="center"/>
    </xf>
    <xf numFmtId="44" fontId="0" fillId="0" borderId="14" xfId="2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44" fontId="0" fillId="0" borderId="10" xfId="0" applyNumberFormat="1" applyFont="1" applyBorder="1" applyAlignment="1">
      <alignment horizontal="center" vertical="center"/>
    </xf>
    <xf numFmtId="10" fontId="0" fillId="0" borderId="10" xfId="0" applyNumberFormat="1" applyFont="1" applyBorder="1" applyAlignment="1">
      <alignment horizontal="center" vertical="center"/>
    </xf>
    <xf numFmtId="0" fontId="30" fillId="0" borderId="10" xfId="72" applyFont="1" applyBorder="1" applyAlignment="1" applyProtection="1">
      <alignment horizontal="center" vertical="center" wrapText="1"/>
    </xf>
    <xf numFmtId="49" fontId="3" fillId="26" borderId="13" xfId="72" applyNumberFormat="1" applyFont="1" applyFill="1" applyBorder="1" applyAlignment="1" applyProtection="1">
      <alignment horizontal="left" vertical="top" wrapText="1"/>
      <protection locked="0"/>
    </xf>
    <xf numFmtId="49" fontId="3" fillId="26" borderId="24" xfId="72" applyNumberFormat="1" applyFont="1" applyFill="1" applyBorder="1" applyAlignment="1" applyProtection="1">
      <alignment horizontal="left" vertical="top" wrapText="1"/>
      <protection locked="0"/>
    </xf>
    <xf numFmtId="49" fontId="3" fillId="26" borderId="14" xfId="72" applyNumberFormat="1" applyFont="1" applyFill="1" applyBorder="1" applyAlignment="1" applyProtection="1">
      <alignment horizontal="left" vertical="top" wrapText="1"/>
      <protection locked="0"/>
    </xf>
    <xf numFmtId="0" fontId="3" fillId="0" borderId="0" xfId="72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right" vertical="center"/>
    </xf>
    <xf numFmtId="0" fontId="28" fillId="0" borderId="0" xfId="0" applyFont="1" applyBorder="1" applyAlignment="1" applyProtection="1">
      <alignment horizontal="center"/>
    </xf>
    <xf numFmtId="0" fontId="27" fillId="0" borderId="0" xfId="0" quotePrefix="1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 vertical="top"/>
    </xf>
    <xf numFmtId="0" fontId="3" fillId="0" borderId="10" xfId="72" applyFont="1" applyBorder="1" applyAlignment="1" applyProtection="1">
      <alignment horizontal="left" vertical="center" wrapText="1"/>
    </xf>
    <xf numFmtId="0" fontId="3" fillId="0" borderId="10" xfId="72" applyFont="1" applyBorder="1" applyAlignment="1" applyProtection="1">
      <alignment horizontal="left" vertical="center"/>
    </xf>
    <xf numFmtId="0" fontId="23" fillId="0" borderId="10" xfId="72" applyFont="1" applyFill="1" applyBorder="1" applyAlignment="1" applyProtection="1">
      <alignment horizontal="left"/>
    </xf>
    <xf numFmtId="10" fontId="23" fillId="26" borderId="10" xfId="72" applyNumberFormat="1" applyFont="1" applyFill="1" applyBorder="1" applyAlignment="1" applyProtection="1">
      <alignment horizontal="center"/>
      <protection locked="0"/>
    </xf>
    <xf numFmtId="0" fontId="25" fillId="0" borderId="10" xfId="72" applyFont="1" applyBorder="1" applyAlignment="1" applyProtection="1">
      <alignment horizontal="center" vertical="center"/>
    </xf>
    <xf numFmtId="4" fontId="25" fillId="0" borderId="10" xfId="72" applyNumberFormat="1" applyFont="1" applyFill="1" applyBorder="1" applyAlignment="1" applyProtection="1">
      <alignment horizontal="center" vertical="center" wrapText="1"/>
    </xf>
    <xf numFmtId="0" fontId="25" fillId="0" borderId="10" xfId="72" applyFont="1" applyFill="1" applyBorder="1" applyAlignment="1" applyProtection="1">
      <alignment horizontal="center" vertical="center"/>
    </xf>
    <xf numFmtId="0" fontId="24" fillId="0" borderId="10" xfId="72" applyFont="1" applyFill="1" applyBorder="1" applyAlignment="1" applyProtection="1">
      <alignment horizontal="center" vertical="center"/>
    </xf>
    <xf numFmtId="0" fontId="23" fillId="0" borderId="10" xfId="72" applyFont="1" applyFill="1" applyBorder="1" applyAlignment="1" applyProtection="1">
      <alignment horizontal="left" wrapText="1"/>
    </xf>
    <xf numFmtId="10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4" fontId="0" fillId="0" borderId="0" xfId="0" applyNumberFormat="1" applyFill="1" applyAlignment="1">
      <alignment horizontal="left" vertical="center"/>
    </xf>
    <xf numFmtId="0" fontId="0" fillId="27" borderId="0" xfId="0" applyFill="1" applyAlignment="1">
      <alignment horizontal="left" vertical="center"/>
    </xf>
    <xf numFmtId="0" fontId="0" fillId="27" borderId="0" xfId="0" applyFill="1" applyAlignment="1">
      <alignment horizontal="left" vertical="center" wrapText="1"/>
    </xf>
    <xf numFmtId="4" fontId="0" fillId="27" borderId="0" xfId="0" applyNumberFormat="1" applyFill="1" applyAlignment="1">
      <alignment horizontal="left" vertical="center"/>
    </xf>
    <xf numFmtId="0" fontId="31" fillId="0" borderId="10" xfId="72" applyFont="1" applyBorder="1" applyAlignment="1" applyProtection="1">
      <alignment horizontal="left" vertical="center" wrapText="1"/>
    </xf>
    <xf numFmtId="0" fontId="31" fillId="0" borderId="10" xfId="72" applyFont="1" applyFill="1" applyBorder="1" applyAlignment="1" applyProtection="1">
      <alignment horizontal="center" vertical="center" wrapText="1"/>
    </xf>
    <xf numFmtId="4" fontId="32" fillId="0" borderId="10" xfId="72" applyNumberFormat="1" applyFont="1" applyFill="1" applyBorder="1" applyAlignment="1" applyProtection="1">
      <alignment horizontal="center" vertical="center" wrapText="1"/>
    </xf>
    <xf numFmtId="2" fontId="32" fillId="0" borderId="10" xfId="72" applyNumberFormat="1" applyFont="1" applyFill="1" applyBorder="1" applyAlignment="1" applyProtection="1">
      <alignment horizontal="center" vertical="center"/>
    </xf>
    <xf numFmtId="10" fontId="32" fillId="0" borderId="10" xfId="72" applyNumberFormat="1" applyFont="1" applyFill="1" applyBorder="1" applyAlignment="1" applyProtection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" fillId="0" borderId="21" xfId="72" applyFont="1" applyBorder="1" applyProtection="1"/>
    <xf numFmtId="0" fontId="3" fillId="0" borderId="0" xfId="72" applyFont="1" applyBorder="1" applyProtection="1"/>
    <xf numFmtId="0" fontId="3" fillId="0" borderId="19" xfId="72" applyFont="1" applyBorder="1" applyProtection="1"/>
    <xf numFmtId="0" fontId="3" fillId="0" borderId="21" xfId="72" applyFont="1" applyBorder="1" applyAlignment="1" applyProtection="1">
      <alignment horizontal="center" vertical="center"/>
    </xf>
    <xf numFmtId="0" fontId="3" fillId="0" borderId="19" xfId="72" applyFont="1" applyBorder="1" applyAlignment="1" applyProtection="1">
      <alignment horizontal="center" vertical="center"/>
    </xf>
    <xf numFmtId="0" fontId="3" fillId="0" borderId="21" xfId="72" applyFont="1" applyBorder="1" applyAlignment="1" applyProtection="1">
      <alignment horizontal="center" vertical="top"/>
    </xf>
    <xf numFmtId="0" fontId="3" fillId="0" borderId="19" xfId="72" applyFont="1" applyBorder="1" applyAlignment="1" applyProtection="1">
      <alignment horizontal="center" vertical="top"/>
    </xf>
    <xf numFmtId="0" fontId="29" fillId="0" borderId="21" xfId="72" applyFont="1" applyBorder="1" applyAlignment="1" applyProtection="1">
      <alignment horizontal="center" vertical="top"/>
    </xf>
    <xf numFmtId="0" fontId="29" fillId="0" borderId="19" xfId="72" applyFont="1" applyBorder="1" applyAlignment="1" applyProtection="1">
      <alignment horizontal="center" vertical="top"/>
    </xf>
    <xf numFmtId="0" fontId="0" fillId="0" borderId="21" xfId="0" applyBorder="1"/>
    <xf numFmtId="0" fontId="0" fillId="0" borderId="0" xfId="0" applyBorder="1"/>
    <xf numFmtId="0" fontId="0" fillId="0" borderId="19" xfId="0" applyBorder="1"/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/>
    <xf numFmtId="0" fontId="0" fillId="0" borderId="22" xfId="0" applyBorder="1"/>
    <xf numFmtId="0" fontId="0" fillId="0" borderId="18" xfId="0" applyBorder="1"/>
    <xf numFmtId="166" fontId="23" fillId="26" borderId="13" xfId="92" applyFont="1" applyFill="1" applyBorder="1" applyAlignment="1" applyProtection="1">
      <alignment horizontal="left" vertical="center" wrapText="1"/>
      <protection locked="0"/>
    </xf>
    <xf numFmtId="166" fontId="23" fillId="26" borderId="24" xfId="92" applyFont="1" applyFill="1" applyBorder="1" applyAlignment="1" applyProtection="1">
      <alignment horizontal="left" vertical="center" wrapText="1"/>
      <protection locked="0"/>
    </xf>
    <xf numFmtId="166" fontId="23" fillId="26" borderId="14" xfId="92" applyFont="1" applyFill="1" applyBorder="1" applyAlignment="1" applyProtection="1">
      <alignment horizontal="left" vertical="center" wrapText="1"/>
      <protection locked="0"/>
    </xf>
    <xf numFmtId="0" fontId="24" fillId="0" borderId="10" xfId="72" applyFont="1" applyBorder="1" applyAlignment="1" applyProtection="1">
      <alignment horizontal="center" vertical="center"/>
    </xf>
    <xf numFmtId="0" fontId="24" fillId="0" borderId="13" xfId="93" applyFont="1" applyBorder="1" applyAlignment="1" applyProtection="1">
      <alignment horizontal="left" vertical="center"/>
    </xf>
    <xf numFmtId="0" fontId="24" fillId="0" borderId="24" xfId="93" applyFont="1" applyBorder="1" applyAlignment="1" applyProtection="1">
      <alignment horizontal="left" vertical="center"/>
    </xf>
    <xf numFmtId="0" fontId="24" fillId="0" borderId="14" xfId="93" applyFont="1" applyBorder="1" applyAlignment="1" applyProtection="1">
      <alignment horizontal="left" vertical="center"/>
    </xf>
    <xf numFmtId="0" fontId="24" fillId="0" borderId="10" xfId="93" applyFont="1" applyBorder="1" applyAlignment="1" applyProtection="1">
      <alignment horizontal="center" vertical="center"/>
    </xf>
    <xf numFmtId="0" fontId="2" fillId="0" borderId="13" xfId="72" applyFont="1" applyFill="1" applyBorder="1" applyAlignment="1" applyProtection="1">
      <alignment horizontal="center" vertical="center" wrapText="1"/>
    </xf>
    <xf numFmtId="0" fontId="3" fillId="0" borderId="14" xfId="72" applyFont="1" applyFill="1" applyBorder="1" applyAlignment="1" applyProtection="1">
      <alignment horizontal="center" vertical="center" wrapText="1"/>
    </xf>
    <xf numFmtId="10" fontId="0" fillId="0" borderId="0" xfId="0" applyNumberFormat="1" applyFill="1" applyAlignment="1">
      <alignment horizontal="left" vertical="center"/>
    </xf>
    <xf numFmtId="4" fontId="0" fillId="27" borderId="0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0" fontId="0" fillId="27" borderId="0" xfId="0" applyNumberFormat="1" applyFill="1" applyAlignment="1">
      <alignment horizontal="left" vertical="center"/>
    </xf>
    <xf numFmtId="0" fontId="0" fillId="28" borderId="0" xfId="0" applyFill="1" applyAlignment="1">
      <alignment horizontal="left" vertical="center"/>
    </xf>
    <xf numFmtId="0" fontId="0" fillId="28" borderId="0" xfId="0" applyFill="1" applyAlignment="1">
      <alignment horizontal="left" vertical="center" wrapText="1"/>
    </xf>
    <xf numFmtId="43" fontId="0" fillId="28" borderId="0" xfId="1" applyFont="1" applyFill="1" applyAlignment="1">
      <alignment horizontal="left" vertical="center"/>
    </xf>
    <xf numFmtId="0" fontId="0" fillId="28" borderId="0" xfId="0" applyFill="1" applyBorder="1" applyAlignment="1">
      <alignment horizontal="left" vertical="center"/>
    </xf>
    <xf numFmtId="4" fontId="0" fillId="28" borderId="0" xfId="0" applyNumberFormat="1" applyFill="1" applyAlignment="1">
      <alignment horizontal="left" vertical="center"/>
    </xf>
    <xf numFmtId="4" fontId="0" fillId="28" borderId="0" xfId="0" applyNumberFormat="1" applyFill="1" applyBorder="1" applyAlignment="1">
      <alignment horizontal="left" vertical="center"/>
    </xf>
    <xf numFmtId="2" fontId="0" fillId="0" borderId="0" xfId="1" applyNumberFormat="1" applyFont="1" applyFill="1" applyAlignment="1">
      <alignment horizontal="left" vertical="center"/>
    </xf>
    <xf numFmtId="2" fontId="0" fillId="0" borderId="0" xfId="0" applyNumberFormat="1" applyFill="1" applyAlignment="1">
      <alignment horizontal="left" vertical="center"/>
    </xf>
    <xf numFmtId="2" fontId="0" fillId="28" borderId="0" xfId="1" applyNumberFormat="1" applyFont="1" applyFill="1" applyAlignment="1">
      <alignment horizontal="left" vertical="center"/>
    </xf>
    <xf numFmtId="2" fontId="0" fillId="28" borderId="0" xfId="0" applyNumberFormat="1" applyFill="1" applyAlignment="1">
      <alignment horizontal="left" vertical="center"/>
    </xf>
    <xf numFmtId="2" fontId="0" fillId="27" borderId="0" xfId="1" applyNumberFormat="1" applyFont="1" applyFill="1" applyAlignment="1">
      <alignment horizontal="left" vertical="center"/>
    </xf>
    <xf numFmtId="2" fontId="0" fillId="27" borderId="0" xfId="0" applyNumberFormat="1" applyFill="1" applyAlignment="1">
      <alignment horizontal="left" vertical="center"/>
    </xf>
    <xf numFmtId="0" fontId="0" fillId="29" borderId="0" xfId="0" applyFill="1" applyAlignment="1">
      <alignment vertical="center"/>
    </xf>
    <xf numFmtId="44" fontId="0" fillId="29" borderId="0" xfId="2" applyFont="1" applyFill="1" applyAlignment="1">
      <alignment horizontal="left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44" fontId="0" fillId="0" borderId="11" xfId="2" applyFont="1" applyFill="1" applyBorder="1" applyAlignment="1">
      <alignment horizontal="center" vertical="center"/>
    </xf>
    <xf numFmtId="44" fontId="0" fillId="0" borderId="15" xfId="2" applyFont="1" applyBorder="1" applyAlignment="1">
      <alignment horizontal="center" vertical="center"/>
    </xf>
    <xf numFmtId="44" fontId="0" fillId="0" borderId="17" xfId="2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9" fontId="0" fillId="0" borderId="11" xfId="0" applyNumberFormat="1" applyFont="1" applyFill="1" applyBorder="1" applyAlignment="1">
      <alignment horizontal="center" vertical="center"/>
    </xf>
    <xf numFmtId="9" fontId="0" fillId="25" borderId="11" xfId="0" applyNumberFormat="1" applyFont="1" applyFill="1" applyBorder="1" applyAlignment="1">
      <alignment horizontal="center" vertical="center"/>
    </xf>
    <xf numFmtId="44" fontId="0" fillId="25" borderId="12" xfId="2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10" fontId="0" fillId="25" borderId="11" xfId="0" applyNumberFormat="1" applyFont="1" applyFill="1" applyBorder="1" applyAlignment="1">
      <alignment horizontal="center" vertical="center"/>
    </xf>
    <xf numFmtId="44" fontId="0" fillId="0" borderId="23" xfId="0" applyNumberFormat="1" applyFont="1" applyBorder="1" applyAlignment="1">
      <alignment horizontal="center" vertical="center"/>
    </xf>
  </cellXfs>
  <cellStyles count="94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Ênfase1 2" xfId="11"/>
    <cellStyle name="20% - Ênfase2 2" xfId="12"/>
    <cellStyle name="20% - Ênfase3 2" xfId="13"/>
    <cellStyle name="20% - Ênfase4 2" xfId="14"/>
    <cellStyle name="20% - Ênfase5 2" xfId="15"/>
    <cellStyle name="20% - Ênfase6 2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 - Ênfase1 2" xfId="23"/>
    <cellStyle name="40% - Ênfase2 2" xfId="24"/>
    <cellStyle name="40% - Ênfase3 2" xfId="25"/>
    <cellStyle name="40% - Ênfase4 2" xfId="26"/>
    <cellStyle name="40% - Ênfase5 2" xfId="27"/>
    <cellStyle name="40% - Ênfase6 2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 - Ênfase1 2" xfId="35"/>
    <cellStyle name="60% - Ênfase2 2" xfId="36"/>
    <cellStyle name="60% - Ênfase3 2" xfId="37"/>
    <cellStyle name="60% - Ênfase4 2" xfId="38"/>
    <cellStyle name="60% - Ênfase5 2" xfId="39"/>
    <cellStyle name="60% - Ênfase6 2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Bom 2" xfId="48"/>
    <cellStyle name="Calculation" xfId="49"/>
    <cellStyle name="Cálculo 2" xfId="50"/>
    <cellStyle name="Célula de Verificação 2" xfId="51"/>
    <cellStyle name="Célula Vinculada 2" xfId="52"/>
    <cellStyle name="Check Cell" xfId="53"/>
    <cellStyle name="Ênfase1 2" xfId="54"/>
    <cellStyle name="Ênfase2 2" xfId="55"/>
    <cellStyle name="Ênfase3 2" xfId="56"/>
    <cellStyle name="Ênfase4 2" xfId="57"/>
    <cellStyle name="Ênfase5 2" xfId="58"/>
    <cellStyle name="Ênfase6 2" xfId="59"/>
    <cellStyle name="Entrada 2" xfId="60"/>
    <cellStyle name="Excel Built-in Normal" xfId="61"/>
    <cellStyle name="Explanatory Text" xfId="62"/>
    <cellStyle name="Good" xfId="63"/>
    <cellStyle name="Heading 1" xfId="64"/>
    <cellStyle name="Heading 2" xfId="65"/>
    <cellStyle name="Heading 3" xfId="66"/>
    <cellStyle name="Heading 4" xfId="67"/>
    <cellStyle name="Input" xfId="68"/>
    <cellStyle name="Linked Cell" xfId="69"/>
    <cellStyle name="Moeda" xfId="2" builtinId="4"/>
    <cellStyle name="Moeda 2" xfId="70"/>
    <cellStyle name="Moeda_Composicao BDI v2.1" xfId="92"/>
    <cellStyle name="Neutral" xfId="71"/>
    <cellStyle name="Normal" xfId="0" builtinId="0"/>
    <cellStyle name="Normal 2" xfId="72"/>
    <cellStyle name="Normal 2 2 2 2" xfId="73"/>
    <cellStyle name="Normal 3" xfId="4"/>
    <cellStyle name="Normal_FICHA DE VERIFICAÇÃO PRELIMINAR - Plano R" xfId="93"/>
    <cellStyle name="Nota 2" xfId="74"/>
    <cellStyle name="Note" xfId="75"/>
    <cellStyle name="Output" xfId="76"/>
    <cellStyle name="Porcentagem" xfId="3" builtinId="5"/>
    <cellStyle name="Porcentagem 2" xfId="77"/>
    <cellStyle name="Saída 2" xfId="78"/>
    <cellStyle name="Texto de Aviso 2" xfId="79"/>
    <cellStyle name="Texto Explicativo 2" xfId="80"/>
    <cellStyle name="Title" xfId="81"/>
    <cellStyle name="Título 1 2" xfId="83"/>
    <cellStyle name="Título 2 2" xfId="84"/>
    <cellStyle name="Título 3 2" xfId="85"/>
    <cellStyle name="Título 4 2" xfId="86"/>
    <cellStyle name="Título 5" xfId="82"/>
    <cellStyle name="Total 2" xfId="87"/>
    <cellStyle name="Vírgula" xfId="1" builtinId="3"/>
    <cellStyle name="Vírgula 2" xfId="88"/>
    <cellStyle name="Vírgula 4" xfId="89"/>
    <cellStyle name="Vírgula 6 5" xfId="90"/>
    <cellStyle name="Warning Text" xfId="91"/>
  </cellStyles>
  <dxfs count="6">
    <dxf>
      <font>
        <color theme="0"/>
      </font>
      <fill>
        <patternFill patternType="none">
          <bgColor indexed="65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lor theme="1"/>
      </font>
      <fill>
        <patternFill>
          <bgColor theme="0" tint="-0.1499679555650502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  <fill>
        <patternFill>
          <bgColor theme="0" tint="-0.14996795556505021"/>
        </patternFill>
      </fill>
    </dxf>
    <dxf>
      <font>
        <condense val="0"/>
        <extend val="0"/>
        <color indexed="17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200025</xdr:colOff>
      <xdr:row>0</xdr:row>
      <xdr:rowOff>1</xdr:rowOff>
    </xdr:from>
    <xdr:to>
      <xdr:col>9</xdr:col>
      <xdr:colOff>657224</xdr:colOff>
      <xdr:row>6</xdr:row>
      <xdr:rowOff>180689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0" y="1"/>
          <a:ext cx="1162049" cy="1466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2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847725"/>
        </a:xfrm>
        <a:prstGeom prst="rect">
          <a:avLst/>
        </a:prstGeom>
      </xdr:spPr>
    </xdr:pic>
    <xdr:clientData/>
  </xdr:twoCellAnchor>
  <xdr:twoCellAnchor editAs="oneCell">
    <xdr:from>
      <xdr:col>10</xdr:col>
      <xdr:colOff>171170</xdr:colOff>
      <xdr:row>0</xdr:row>
      <xdr:rowOff>48060</xdr:rowOff>
    </xdr:from>
    <xdr:to>
      <xdr:col>10</xdr:col>
      <xdr:colOff>724793</xdr:colOff>
      <xdr:row>1</xdr:row>
      <xdr:rowOff>628218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120" y="48060"/>
          <a:ext cx="553623" cy="770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552450</xdr:colOff>
      <xdr:row>2</xdr:row>
      <xdr:rowOff>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7300" cy="838200"/>
        </a:xfrm>
        <a:prstGeom prst="rect">
          <a:avLst/>
        </a:prstGeom>
      </xdr:spPr>
    </xdr:pic>
    <xdr:clientData/>
  </xdr:twoCellAnchor>
  <xdr:twoCellAnchor editAs="oneCell">
    <xdr:from>
      <xdr:col>9</xdr:col>
      <xdr:colOff>614</xdr:colOff>
      <xdr:row>0</xdr:row>
      <xdr:rowOff>2</xdr:rowOff>
    </xdr:from>
    <xdr:to>
      <xdr:col>9</xdr:col>
      <xdr:colOff>628649</xdr:colOff>
      <xdr:row>2</xdr:row>
      <xdr:rowOff>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5139" y="2"/>
          <a:ext cx="656610" cy="8286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madm02/Desktop/pra&#231;a%20bgk/PLANILHA%20OR&#199;AMENT&#193;RIA%20PADR&#195;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BDI (1)"/>
      <sheetName val="PO"/>
      <sheetName val="PLQ"/>
      <sheetName val="CFF"/>
    </sheetNames>
    <definedNames>
      <definedName name="linhaSINAPIxls" refersTo="='PO'!$X1" sheetId="2"/>
    </definedNames>
    <sheetDataSet>
      <sheetData sheetId="0">
        <row r="37">
          <cell r="T37" t="str">
            <v>BDI 1</v>
          </cell>
          <cell r="U37" t="str">
            <v>BDI 2</v>
          </cell>
          <cell r="V37" t="str">
            <v>BDI 3</v>
          </cell>
          <cell r="W37" t="str">
            <v>BDI 4</v>
          </cell>
          <cell r="X37" t="str">
            <v>BDI 5</v>
          </cell>
        </row>
        <row r="38">
          <cell r="A38">
            <v>43313</v>
          </cell>
        </row>
      </sheetData>
      <sheetData sheetId="1" refreshError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tabSelected="1" workbookViewId="0">
      <selection activeCell="N8" sqref="N8"/>
    </sheetView>
  </sheetViews>
  <sheetFormatPr defaultColWidth="10.5703125" defaultRowHeight="15" x14ac:dyDescent="0.25"/>
  <cols>
    <col min="1" max="4" width="10.5703125" style="7"/>
    <col min="5" max="5" width="58.42578125" style="51" customWidth="1"/>
    <col min="6" max="6" width="11.42578125" style="7" customWidth="1"/>
    <col min="7" max="7" width="14.28515625" style="7" bestFit="1" customWidth="1"/>
    <col min="8" max="16384" width="10.5703125" style="7"/>
  </cols>
  <sheetData>
    <row r="1" spans="1:11" x14ac:dyDescent="0.25">
      <c r="A1" s="22" t="s">
        <v>25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1" ht="26.25" x14ac:dyDescent="0.25">
      <c r="A3" s="22" t="s">
        <v>31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5">
      <c r="A4" s="21" t="s">
        <v>26</v>
      </c>
      <c r="B4" s="21"/>
      <c r="C4" s="21" t="s">
        <v>100</v>
      </c>
      <c r="D4" s="21"/>
      <c r="E4" s="21"/>
      <c r="F4" s="108" t="s">
        <v>260</v>
      </c>
      <c r="G4" s="109">
        <f>SUM(K9,K14,K23,K28,K40,K47,K58,K73,K84)</f>
        <v>246843.31999999998</v>
      </c>
    </row>
    <row r="5" spans="1:11" x14ac:dyDescent="0.25">
      <c r="A5" s="21" t="s">
        <v>27</v>
      </c>
      <c r="B5" s="21"/>
      <c r="C5" s="21" t="s">
        <v>258</v>
      </c>
      <c r="D5" s="21"/>
      <c r="E5" s="21"/>
    </row>
    <row r="6" spans="1:11" x14ac:dyDescent="0.25">
      <c r="A6" s="21" t="s">
        <v>28</v>
      </c>
      <c r="B6" s="21"/>
      <c r="C6" s="21" t="s">
        <v>259</v>
      </c>
      <c r="D6" s="21"/>
      <c r="E6" s="21"/>
    </row>
    <row r="7" spans="1:11" x14ac:dyDescent="0.25">
      <c r="A7" s="21" t="s">
        <v>29</v>
      </c>
      <c r="B7" s="21"/>
      <c r="C7" s="50">
        <v>0.28370000000000001</v>
      </c>
      <c r="D7" s="50"/>
      <c r="E7" s="50"/>
    </row>
    <row r="8" spans="1:11" ht="45" x14ac:dyDescent="0.2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121</v>
      </c>
      <c r="G8" s="5" t="s">
        <v>5</v>
      </c>
      <c r="H8" s="5" t="s">
        <v>6</v>
      </c>
      <c r="I8" s="5" t="s">
        <v>103</v>
      </c>
      <c r="J8" s="5" t="s">
        <v>7</v>
      </c>
      <c r="K8" s="51"/>
    </row>
    <row r="9" spans="1:11" s="52" customFormat="1" x14ac:dyDescent="0.25">
      <c r="A9" s="96" t="s">
        <v>101</v>
      </c>
      <c r="B9" s="96" t="s">
        <v>8</v>
      </c>
      <c r="C9" s="96"/>
      <c r="D9" s="96"/>
      <c r="E9" s="97" t="s">
        <v>102</v>
      </c>
      <c r="F9" s="96" t="s">
        <v>68</v>
      </c>
      <c r="G9" s="98"/>
      <c r="H9" s="96"/>
      <c r="I9" s="96"/>
      <c r="J9" s="100">
        <f>K9</f>
        <v>25428.22</v>
      </c>
      <c r="K9" s="100">
        <f>SUM(J10:J13)</f>
        <v>25428.22</v>
      </c>
    </row>
    <row r="10" spans="1:11" s="52" customFormat="1" x14ac:dyDescent="0.25">
      <c r="A10" s="52" t="s">
        <v>104</v>
      </c>
      <c r="B10" s="52" t="s">
        <v>181</v>
      </c>
      <c r="C10" s="52" t="s">
        <v>10</v>
      </c>
      <c r="D10" s="52" t="s">
        <v>11</v>
      </c>
      <c r="E10" s="53" t="s">
        <v>105</v>
      </c>
      <c r="F10" s="52" t="s">
        <v>71</v>
      </c>
      <c r="G10" s="102">
        <v>3.36</v>
      </c>
      <c r="H10" s="103">
        <v>310.52999999999997</v>
      </c>
      <c r="I10" s="92">
        <f>$C$7</f>
        <v>0.28370000000000001</v>
      </c>
      <c r="J10" s="54">
        <v>1339.4</v>
      </c>
    </row>
    <row r="11" spans="1:11" s="52" customFormat="1" x14ac:dyDescent="0.25">
      <c r="A11" s="52" t="s">
        <v>104</v>
      </c>
      <c r="B11" s="52" t="s">
        <v>182</v>
      </c>
      <c r="C11" s="52" t="s">
        <v>10</v>
      </c>
      <c r="D11" s="52" t="s">
        <v>72</v>
      </c>
      <c r="E11" s="53" t="s">
        <v>106</v>
      </c>
      <c r="F11" s="52" t="s">
        <v>71</v>
      </c>
      <c r="G11" s="102">
        <v>47.2</v>
      </c>
      <c r="H11" s="103">
        <v>84.11</v>
      </c>
      <c r="I11" s="92">
        <f t="shared" ref="I11:I74" si="0">$C$7</f>
        <v>0.28370000000000001</v>
      </c>
      <c r="J11" s="54">
        <v>5096.18</v>
      </c>
    </row>
    <row r="12" spans="1:11" s="52" customFormat="1" ht="30" x14ac:dyDescent="0.25">
      <c r="A12" s="52" t="s">
        <v>104</v>
      </c>
      <c r="B12" s="52" t="s">
        <v>183</v>
      </c>
      <c r="C12" s="52" t="s">
        <v>10</v>
      </c>
      <c r="D12" s="52" t="s">
        <v>99</v>
      </c>
      <c r="E12" s="53" t="s">
        <v>107</v>
      </c>
      <c r="F12" s="52" t="s">
        <v>73</v>
      </c>
      <c r="G12" s="102">
        <v>96</v>
      </c>
      <c r="H12" s="103">
        <v>83.18</v>
      </c>
      <c r="I12" s="92">
        <f t="shared" si="0"/>
        <v>0.28370000000000001</v>
      </c>
      <c r="J12" s="54">
        <v>10250.879999999999</v>
      </c>
    </row>
    <row r="13" spans="1:11" s="52" customFormat="1" x14ac:dyDescent="0.25">
      <c r="A13" s="52" t="s">
        <v>104</v>
      </c>
      <c r="B13" s="52" t="s">
        <v>184</v>
      </c>
      <c r="C13" s="52" t="s">
        <v>10</v>
      </c>
      <c r="D13" s="52" t="s">
        <v>98</v>
      </c>
      <c r="E13" s="53" t="s">
        <v>108</v>
      </c>
      <c r="F13" s="52" t="s">
        <v>73</v>
      </c>
      <c r="G13" s="102">
        <v>192</v>
      </c>
      <c r="H13" s="103">
        <v>35.47</v>
      </c>
      <c r="I13" s="92">
        <f t="shared" si="0"/>
        <v>0.28370000000000001</v>
      </c>
      <c r="J13" s="54">
        <v>8741.76</v>
      </c>
    </row>
    <row r="14" spans="1:11" s="52" customFormat="1" x14ac:dyDescent="0.25">
      <c r="A14" s="96" t="s">
        <v>101</v>
      </c>
      <c r="B14" s="96" t="s">
        <v>12</v>
      </c>
      <c r="C14" s="96"/>
      <c r="D14" s="96"/>
      <c r="E14" s="97" t="s">
        <v>93</v>
      </c>
      <c r="F14" s="96" t="s">
        <v>68</v>
      </c>
      <c r="G14" s="104"/>
      <c r="H14" s="105"/>
      <c r="I14" s="96"/>
      <c r="J14" s="100">
        <f>K14</f>
        <v>138484.76999999999</v>
      </c>
      <c r="K14" s="100">
        <f>SUM(J15:J22)</f>
        <v>138484.76999999999</v>
      </c>
    </row>
    <row r="15" spans="1:11" s="52" customFormat="1" ht="30" x14ac:dyDescent="0.25">
      <c r="A15" s="52" t="s">
        <v>104</v>
      </c>
      <c r="B15" s="52" t="s">
        <v>185</v>
      </c>
      <c r="C15" s="52" t="s">
        <v>10</v>
      </c>
      <c r="D15" s="52" t="s">
        <v>95</v>
      </c>
      <c r="E15" s="53" t="s">
        <v>109</v>
      </c>
      <c r="F15" s="52" t="s">
        <v>71</v>
      </c>
      <c r="G15" s="102">
        <v>761.79</v>
      </c>
      <c r="H15" s="103">
        <v>9.57</v>
      </c>
      <c r="I15" s="92">
        <f t="shared" si="0"/>
        <v>0.28370000000000001</v>
      </c>
      <c r="J15" s="54">
        <v>9362.4</v>
      </c>
    </row>
    <row r="16" spans="1:11" s="52" customFormat="1" x14ac:dyDescent="0.25">
      <c r="A16" s="52" t="s">
        <v>104</v>
      </c>
      <c r="B16" s="52" t="s">
        <v>186</v>
      </c>
      <c r="C16" s="52" t="s">
        <v>10</v>
      </c>
      <c r="D16" s="52" t="s">
        <v>75</v>
      </c>
      <c r="E16" s="53" t="s">
        <v>110</v>
      </c>
      <c r="F16" s="52" t="s">
        <v>74</v>
      </c>
      <c r="G16" s="102">
        <v>12.5</v>
      </c>
      <c r="H16" s="103">
        <v>86.04</v>
      </c>
      <c r="I16" s="92">
        <f t="shared" si="0"/>
        <v>0.28370000000000001</v>
      </c>
      <c r="J16" s="52">
        <v>1380.63</v>
      </c>
    </row>
    <row r="17" spans="1:11" s="52" customFormat="1" x14ac:dyDescent="0.25">
      <c r="A17" s="52" t="s">
        <v>104</v>
      </c>
      <c r="B17" s="52" t="s">
        <v>187</v>
      </c>
      <c r="C17" s="52" t="s">
        <v>20</v>
      </c>
      <c r="D17" s="52" t="s">
        <v>111</v>
      </c>
      <c r="E17" s="53" t="s">
        <v>112</v>
      </c>
      <c r="F17" s="52" t="s">
        <v>71</v>
      </c>
      <c r="G17" s="102">
        <v>406.04</v>
      </c>
      <c r="H17" s="103">
        <v>116.99</v>
      </c>
      <c r="I17" s="92">
        <f t="shared" si="0"/>
        <v>0.28370000000000001</v>
      </c>
      <c r="J17" s="52">
        <v>60979.09</v>
      </c>
    </row>
    <row r="18" spans="1:11" s="52" customFormat="1" x14ac:dyDescent="0.25">
      <c r="A18" s="52" t="s">
        <v>104</v>
      </c>
      <c r="B18" s="52" t="s">
        <v>188</v>
      </c>
      <c r="C18" s="52" t="s">
        <v>20</v>
      </c>
      <c r="D18" s="52" t="s">
        <v>111</v>
      </c>
      <c r="E18" s="53" t="s">
        <v>113</v>
      </c>
      <c r="F18" s="52" t="s">
        <v>71</v>
      </c>
      <c r="G18" s="102">
        <v>306</v>
      </c>
      <c r="H18" s="103">
        <v>116.99</v>
      </c>
      <c r="I18" s="92">
        <f t="shared" si="0"/>
        <v>0.28370000000000001</v>
      </c>
      <c r="J18" s="54">
        <v>45955.08</v>
      </c>
    </row>
    <row r="19" spans="1:11" s="52" customFormat="1" ht="30" x14ac:dyDescent="0.25">
      <c r="A19" s="52" t="s">
        <v>104</v>
      </c>
      <c r="B19" s="52" t="s">
        <v>189</v>
      </c>
      <c r="C19" s="52" t="s">
        <v>10</v>
      </c>
      <c r="D19" s="52" t="s">
        <v>94</v>
      </c>
      <c r="E19" s="53" t="s">
        <v>114</v>
      </c>
      <c r="F19" s="52" t="s">
        <v>71</v>
      </c>
      <c r="G19" s="102">
        <v>22</v>
      </c>
      <c r="H19" s="103">
        <v>75.64</v>
      </c>
      <c r="I19" s="92">
        <f t="shared" si="0"/>
        <v>0.28370000000000001</v>
      </c>
      <c r="J19" s="54">
        <v>2136.1999999999998</v>
      </c>
    </row>
    <row r="20" spans="1:11" s="52" customFormat="1" x14ac:dyDescent="0.25">
      <c r="A20" s="52" t="s">
        <v>104</v>
      </c>
      <c r="B20" s="52" t="s">
        <v>190</v>
      </c>
      <c r="C20" s="52" t="s">
        <v>10</v>
      </c>
      <c r="D20" s="52" t="s">
        <v>92</v>
      </c>
      <c r="E20" s="53" t="s">
        <v>115</v>
      </c>
      <c r="F20" s="52" t="s">
        <v>71</v>
      </c>
      <c r="G20" s="102">
        <v>22</v>
      </c>
      <c r="H20" s="103">
        <v>18.03</v>
      </c>
      <c r="I20" s="92">
        <f t="shared" si="0"/>
        <v>0.28370000000000001</v>
      </c>
      <c r="J20" s="54">
        <v>509.3</v>
      </c>
    </row>
    <row r="21" spans="1:11" s="52" customFormat="1" x14ac:dyDescent="0.25">
      <c r="A21" s="52" t="s">
        <v>104</v>
      </c>
      <c r="B21" s="52" t="s">
        <v>191</v>
      </c>
      <c r="C21" s="52" t="s">
        <v>10</v>
      </c>
      <c r="D21" s="52" t="s">
        <v>81</v>
      </c>
      <c r="E21" s="53" t="s">
        <v>116</v>
      </c>
      <c r="F21" s="52" t="s">
        <v>74</v>
      </c>
      <c r="G21" s="102">
        <v>6.36</v>
      </c>
      <c r="H21" s="103">
        <v>2059.58</v>
      </c>
      <c r="I21" s="92">
        <f t="shared" si="0"/>
        <v>0.28370000000000001</v>
      </c>
      <c r="J21" s="54">
        <v>16815.080000000002</v>
      </c>
    </row>
    <row r="22" spans="1:11" s="52" customFormat="1" x14ac:dyDescent="0.25">
      <c r="A22" s="52" t="s">
        <v>104</v>
      </c>
      <c r="B22" s="52" t="s">
        <v>192</v>
      </c>
      <c r="C22" s="52" t="s">
        <v>10</v>
      </c>
      <c r="D22" s="52" t="s">
        <v>117</v>
      </c>
      <c r="E22" s="53" t="s">
        <v>118</v>
      </c>
      <c r="F22" s="52" t="s">
        <v>71</v>
      </c>
      <c r="G22" s="102">
        <v>27.75</v>
      </c>
      <c r="H22" s="103">
        <v>37.81</v>
      </c>
      <c r="I22" s="92">
        <f t="shared" si="0"/>
        <v>0.28370000000000001</v>
      </c>
      <c r="J22" s="52">
        <v>1346.99</v>
      </c>
    </row>
    <row r="23" spans="1:11" s="52" customFormat="1" x14ac:dyDescent="0.25">
      <c r="A23" s="96" t="s">
        <v>101</v>
      </c>
      <c r="B23" s="96" t="s">
        <v>13</v>
      </c>
      <c r="C23" s="96"/>
      <c r="D23" s="96"/>
      <c r="E23" s="97" t="s">
        <v>119</v>
      </c>
      <c r="F23" s="96" t="s">
        <v>68</v>
      </c>
      <c r="G23" s="104"/>
      <c r="H23" s="105"/>
      <c r="I23" s="96"/>
      <c r="J23" s="100">
        <f>K23</f>
        <v>7803.8799999999992</v>
      </c>
      <c r="K23" s="101">
        <f>SUM(J24:J27)</f>
        <v>7803.8799999999992</v>
      </c>
    </row>
    <row r="24" spans="1:11" s="52" customFormat="1" x14ac:dyDescent="0.25">
      <c r="A24" s="52" t="s">
        <v>104</v>
      </c>
      <c r="B24" s="52" t="s">
        <v>193</v>
      </c>
      <c r="C24" s="52" t="s">
        <v>10</v>
      </c>
      <c r="D24" s="52" t="s">
        <v>96</v>
      </c>
      <c r="E24" s="53" t="s">
        <v>120</v>
      </c>
      <c r="F24" s="52" t="s">
        <v>121</v>
      </c>
      <c r="G24" s="102">
        <v>8</v>
      </c>
      <c r="H24" s="103">
        <v>81.91</v>
      </c>
      <c r="I24" s="92">
        <f t="shared" si="0"/>
        <v>0.28370000000000001</v>
      </c>
      <c r="J24" s="54">
        <v>841.2</v>
      </c>
      <c r="K24" s="94"/>
    </row>
    <row r="25" spans="1:11" s="52" customFormat="1" x14ac:dyDescent="0.25">
      <c r="A25" s="52" t="s">
        <v>104</v>
      </c>
      <c r="B25" s="52" t="s">
        <v>194</v>
      </c>
      <c r="C25" s="52" t="s">
        <v>10</v>
      </c>
      <c r="D25" s="52" t="s">
        <v>97</v>
      </c>
      <c r="E25" s="53" t="s">
        <v>122</v>
      </c>
      <c r="F25" s="52" t="s">
        <v>71</v>
      </c>
      <c r="G25" s="102">
        <v>35.450000000000003</v>
      </c>
      <c r="H25" s="103">
        <v>13.2</v>
      </c>
      <c r="I25" s="92">
        <f t="shared" si="0"/>
        <v>0.28370000000000001</v>
      </c>
      <c r="J25" s="54">
        <v>600.52</v>
      </c>
      <c r="K25" s="94"/>
    </row>
    <row r="26" spans="1:11" s="52" customFormat="1" ht="30" x14ac:dyDescent="0.25">
      <c r="A26" s="52" t="s">
        <v>104</v>
      </c>
      <c r="B26" s="52" t="s">
        <v>195</v>
      </c>
      <c r="C26" s="52" t="s">
        <v>10</v>
      </c>
      <c r="D26" s="52" t="s">
        <v>80</v>
      </c>
      <c r="E26" s="53" t="s">
        <v>123</v>
      </c>
      <c r="F26" s="52" t="s">
        <v>74</v>
      </c>
      <c r="G26" s="102">
        <v>0.36</v>
      </c>
      <c r="H26" s="103">
        <v>294.86</v>
      </c>
      <c r="I26" s="92">
        <f t="shared" si="0"/>
        <v>0.28370000000000001</v>
      </c>
      <c r="J26" s="54">
        <v>136.26</v>
      </c>
      <c r="K26" s="94"/>
    </row>
    <row r="27" spans="1:11" s="52" customFormat="1" x14ac:dyDescent="0.25">
      <c r="A27" s="52" t="s">
        <v>104</v>
      </c>
      <c r="B27" s="52" t="s">
        <v>196</v>
      </c>
      <c r="C27" s="52" t="s">
        <v>14</v>
      </c>
      <c r="D27" s="52" t="s">
        <v>124</v>
      </c>
      <c r="E27" s="53" t="s">
        <v>125</v>
      </c>
      <c r="F27" s="52" t="s">
        <v>121</v>
      </c>
      <c r="G27" s="102">
        <v>10</v>
      </c>
      <c r="H27" s="103">
        <v>485</v>
      </c>
      <c r="I27" s="92">
        <f t="shared" si="0"/>
        <v>0.28370000000000001</v>
      </c>
      <c r="J27" s="54">
        <v>6225.9</v>
      </c>
      <c r="K27" s="94"/>
    </row>
    <row r="28" spans="1:11" s="52" customFormat="1" x14ac:dyDescent="0.25">
      <c r="A28" s="96" t="s">
        <v>101</v>
      </c>
      <c r="B28" s="96" t="s">
        <v>15</v>
      </c>
      <c r="C28" s="96"/>
      <c r="D28" s="96"/>
      <c r="E28" s="97" t="s">
        <v>126</v>
      </c>
      <c r="F28" s="96" t="s">
        <v>68</v>
      </c>
      <c r="G28" s="104"/>
      <c r="H28" s="105"/>
      <c r="I28" s="96"/>
      <c r="J28" s="100">
        <f>K28</f>
        <v>16942.79</v>
      </c>
      <c r="K28" s="99">
        <f>SUM(J29:J39)</f>
        <v>16942.79</v>
      </c>
    </row>
    <row r="29" spans="1:11" s="52" customFormat="1" ht="30" x14ac:dyDescent="0.25">
      <c r="A29" s="52" t="s">
        <v>104</v>
      </c>
      <c r="B29" s="52" t="s">
        <v>197</v>
      </c>
      <c r="C29" s="52" t="s">
        <v>10</v>
      </c>
      <c r="D29" s="52" t="s">
        <v>85</v>
      </c>
      <c r="E29" s="53" t="s">
        <v>127</v>
      </c>
      <c r="F29" s="52" t="s">
        <v>121</v>
      </c>
      <c r="G29" s="102">
        <v>64</v>
      </c>
      <c r="H29" s="103">
        <v>66.900000000000006</v>
      </c>
      <c r="I29" s="92">
        <f t="shared" si="0"/>
        <v>0.28370000000000001</v>
      </c>
      <c r="J29" s="52">
        <v>5496.32</v>
      </c>
    </row>
    <row r="30" spans="1:11" s="52" customFormat="1" ht="45" x14ac:dyDescent="0.25">
      <c r="A30" s="52" t="s">
        <v>104</v>
      </c>
      <c r="B30" s="52" t="s">
        <v>198</v>
      </c>
      <c r="C30" s="52" t="s">
        <v>10</v>
      </c>
      <c r="D30" s="52" t="s">
        <v>82</v>
      </c>
      <c r="E30" s="53" t="s">
        <v>128</v>
      </c>
      <c r="F30" s="52" t="s">
        <v>69</v>
      </c>
      <c r="G30" s="102">
        <v>153.4</v>
      </c>
      <c r="H30" s="103">
        <v>5.35</v>
      </c>
      <c r="I30" s="92">
        <f t="shared" si="0"/>
        <v>0.28370000000000001</v>
      </c>
      <c r="J30" s="52">
        <v>1053.8599999999999</v>
      </c>
    </row>
    <row r="31" spans="1:11" s="52" customFormat="1" ht="30" x14ac:dyDescent="0.25">
      <c r="A31" s="52" t="s">
        <v>104</v>
      </c>
      <c r="B31" s="52" t="s">
        <v>199</v>
      </c>
      <c r="C31" s="52" t="s">
        <v>10</v>
      </c>
      <c r="D31" s="52" t="s">
        <v>83</v>
      </c>
      <c r="E31" s="53" t="s">
        <v>129</v>
      </c>
      <c r="F31" s="52" t="s">
        <v>69</v>
      </c>
      <c r="G31" s="102">
        <v>630.27</v>
      </c>
      <c r="H31" s="103">
        <v>2.42</v>
      </c>
      <c r="I31" s="92">
        <f t="shared" si="0"/>
        <v>0.28370000000000001</v>
      </c>
      <c r="J31" s="52">
        <v>1960.14</v>
      </c>
    </row>
    <row r="32" spans="1:11" s="52" customFormat="1" ht="30" x14ac:dyDescent="0.25">
      <c r="A32" s="52" t="s">
        <v>104</v>
      </c>
      <c r="B32" s="52" t="s">
        <v>200</v>
      </c>
      <c r="C32" s="52" t="s">
        <v>10</v>
      </c>
      <c r="D32" s="52" t="s">
        <v>88</v>
      </c>
      <c r="E32" s="53" t="s">
        <v>130</v>
      </c>
      <c r="F32" s="52" t="s">
        <v>121</v>
      </c>
      <c r="G32" s="102">
        <v>4</v>
      </c>
      <c r="H32" s="103">
        <v>209.75</v>
      </c>
      <c r="I32" s="92">
        <f t="shared" si="0"/>
        <v>0.28370000000000001</v>
      </c>
      <c r="J32" s="52">
        <v>1077.04</v>
      </c>
    </row>
    <row r="33" spans="1:11" s="52" customFormat="1" ht="30" x14ac:dyDescent="0.25">
      <c r="A33" s="52" t="s">
        <v>104</v>
      </c>
      <c r="B33" s="52" t="s">
        <v>201</v>
      </c>
      <c r="C33" s="52" t="s">
        <v>10</v>
      </c>
      <c r="D33" s="52" t="s">
        <v>80</v>
      </c>
      <c r="E33" s="53" t="s">
        <v>131</v>
      </c>
      <c r="F33" s="52" t="s">
        <v>74</v>
      </c>
      <c r="G33" s="102">
        <v>0.7</v>
      </c>
      <c r="H33" s="103">
        <v>294.86</v>
      </c>
      <c r="I33" s="92">
        <f t="shared" si="0"/>
        <v>0.28370000000000001</v>
      </c>
      <c r="J33" s="52">
        <v>264.95999999999998</v>
      </c>
    </row>
    <row r="34" spans="1:11" s="52" customFormat="1" x14ac:dyDescent="0.25">
      <c r="A34" s="52" t="s">
        <v>104</v>
      </c>
      <c r="B34" s="52" t="s">
        <v>202</v>
      </c>
      <c r="C34" s="52" t="s">
        <v>10</v>
      </c>
      <c r="D34" s="52" t="s">
        <v>86</v>
      </c>
      <c r="E34" s="53" t="s">
        <v>132</v>
      </c>
      <c r="F34" s="52" t="s">
        <v>121</v>
      </c>
      <c r="G34" s="102">
        <v>7</v>
      </c>
      <c r="H34" s="103">
        <v>450.03999999999996</v>
      </c>
      <c r="I34" s="92">
        <f t="shared" si="0"/>
        <v>0.28370000000000001</v>
      </c>
      <c r="J34" s="52">
        <v>4044.04</v>
      </c>
    </row>
    <row r="35" spans="1:11" s="52" customFormat="1" ht="30" x14ac:dyDescent="0.25">
      <c r="A35" s="52" t="s">
        <v>104</v>
      </c>
      <c r="B35" s="52" t="s">
        <v>203</v>
      </c>
      <c r="C35" s="52" t="s">
        <v>10</v>
      </c>
      <c r="D35" s="52" t="s">
        <v>87</v>
      </c>
      <c r="E35" s="53" t="s">
        <v>133</v>
      </c>
      <c r="F35" s="52" t="s">
        <v>121</v>
      </c>
      <c r="G35" s="102">
        <v>7</v>
      </c>
      <c r="H35" s="103">
        <v>237.42</v>
      </c>
      <c r="I35" s="92">
        <f t="shared" si="0"/>
        <v>0.28370000000000001</v>
      </c>
      <c r="J35" s="52">
        <v>2133.46</v>
      </c>
    </row>
    <row r="36" spans="1:11" s="52" customFormat="1" x14ac:dyDescent="0.25">
      <c r="A36" s="52" t="s">
        <v>104</v>
      </c>
      <c r="B36" s="52" t="s">
        <v>204</v>
      </c>
      <c r="C36" s="52" t="s">
        <v>10</v>
      </c>
      <c r="D36" s="52" t="s">
        <v>134</v>
      </c>
      <c r="E36" s="53" t="s">
        <v>135</v>
      </c>
      <c r="F36" s="52" t="s">
        <v>121</v>
      </c>
      <c r="G36" s="102">
        <v>7</v>
      </c>
      <c r="H36" s="103">
        <v>28.02</v>
      </c>
      <c r="I36" s="92">
        <f t="shared" si="0"/>
        <v>0.28370000000000001</v>
      </c>
      <c r="J36" s="52">
        <v>251.79</v>
      </c>
    </row>
    <row r="37" spans="1:11" s="52" customFormat="1" x14ac:dyDescent="0.25">
      <c r="A37" s="52" t="s">
        <v>104</v>
      </c>
      <c r="B37" s="52" t="s">
        <v>205</v>
      </c>
      <c r="C37" s="52" t="s">
        <v>10</v>
      </c>
      <c r="D37" s="52" t="s">
        <v>75</v>
      </c>
      <c r="E37" s="53" t="s">
        <v>136</v>
      </c>
      <c r="F37" s="52" t="s">
        <v>74</v>
      </c>
      <c r="G37" s="102">
        <v>0.57999999999999996</v>
      </c>
      <c r="H37" s="103">
        <v>86.04</v>
      </c>
      <c r="I37" s="92">
        <f t="shared" si="0"/>
        <v>0.28370000000000001</v>
      </c>
      <c r="J37" s="52">
        <v>64.06</v>
      </c>
    </row>
    <row r="38" spans="1:11" s="52" customFormat="1" x14ac:dyDescent="0.25">
      <c r="A38" s="52" t="s">
        <v>104</v>
      </c>
      <c r="B38" s="52" t="s">
        <v>206</v>
      </c>
      <c r="C38" s="52" t="s">
        <v>14</v>
      </c>
      <c r="D38" s="52" t="s">
        <v>137</v>
      </c>
      <c r="E38" s="53" t="s">
        <v>138</v>
      </c>
      <c r="F38" s="52" t="s">
        <v>121</v>
      </c>
      <c r="G38" s="102">
        <v>12</v>
      </c>
      <c r="H38" s="103">
        <v>23.8</v>
      </c>
      <c r="I38" s="92">
        <f t="shared" si="0"/>
        <v>0.28370000000000001</v>
      </c>
      <c r="J38" s="54">
        <v>366.6</v>
      </c>
    </row>
    <row r="39" spans="1:11" s="52" customFormat="1" ht="30" x14ac:dyDescent="0.25">
      <c r="A39" s="52" t="s">
        <v>104</v>
      </c>
      <c r="B39" s="52" t="s">
        <v>207</v>
      </c>
      <c r="C39" s="52" t="s">
        <v>10</v>
      </c>
      <c r="D39" s="52" t="s">
        <v>84</v>
      </c>
      <c r="E39" s="53" t="s">
        <v>139</v>
      </c>
      <c r="F39" s="52" t="s">
        <v>121</v>
      </c>
      <c r="G39" s="102">
        <v>3</v>
      </c>
      <c r="H39" s="103">
        <v>59.86</v>
      </c>
      <c r="I39" s="92">
        <f t="shared" si="0"/>
        <v>0.28370000000000001</v>
      </c>
      <c r="J39" s="54">
        <v>230.52</v>
      </c>
    </row>
    <row r="40" spans="1:11" s="52" customFormat="1" x14ac:dyDescent="0.25">
      <c r="A40" s="96" t="s">
        <v>101</v>
      </c>
      <c r="B40" s="96" t="s">
        <v>17</v>
      </c>
      <c r="C40" s="96"/>
      <c r="D40" s="96"/>
      <c r="E40" s="97" t="s">
        <v>140</v>
      </c>
      <c r="F40" s="100" t="s">
        <v>68</v>
      </c>
      <c r="G40" s="104"/>
      <c r="H40" s="105"/>
      <c r="I40" s="96"/>
      <c r="J40" s="100">
        <f>K40</f>
        <v>18799.52</v>
      </c>
      <c r="K40" s="100">
        <f>SUM(J41:J46)</f>
        <v>18799.52</v>
      </c>
    </row>
    <row r="41" spans="1:11" s="52" customFormat="1" ht="45" x14ac:dyDescent="0.25">
      <c r="A41" s="52" t="s">
        <v>104</v>
      </c>
      <c r="B41" s="52" t="s">
        <v>208</v>
      </c>
      <c r="C41" s="52" t="s">
        <v>10</v>
      </c>
      <c r="D41" s="52" t="s">
        <v>90</v>
      </c>
      <c r="E41" s="53" t="s">
        <v>141</v>
      </c>
      <c r="F41" s="52" t="s">
        <v>74</v>
      </c>
      <c r="G41" s="102">
        <v>4.59</v>
      </c>
      <c r="H41" s="103">
        <v>166.08</v>
      </c>
      <c r="I41" s="92">
        <f t="shared" si="0"/>
        <v>0.28370000000000001</v>
      </c>
      <c r="J41" s="54">
        <v>978.59</v>
      </c>
    </row>
    <row r="42" spans="1:11" s="52" customFormat="1" ht="30" x14ac:dyDescent="0.25">
      <c r="A42" s="52" t="s">
        <v>104</v>
      </c>
      <c r="B42" s="52" t="s">
        <v>209</v>
      </c>
      <c r="C42" s="52" t="s">
        <v>10</v>
      </c>
      <c r="D42" s="52" t="s">
        <v>76</v>
      </c>
      <c r="E42" s="53" t="s">
        <v>142</v>
      </c>
      <c r="F42" s="52" t="s">
        <v>69</v>
      </c>
      <c r="G42" s="102">
        <v>45.93</v>
      </c>
      <c r="H42" s="103">
        <v>98.39</v>
      </c>
      <c r="I42" s="92">
        <f t="shared" si="0"/>
        <v>0.28370000000000001</v>
      </c>
      <c r="J42" s="54">
        <v>5800.96</v>
      </c>
    </row>
    <row r="43" spans="1:11" s="52" customFormat="1" x14ac:dyDescent="0.25">
      <c r="A43" s="52" t="s">
        <v>104</v>
      </c>
      <c r="B43" s="52" t="s">
        <v>210</v>
      </c>
      <c r="C43" s="52" t="s">
        <v>10</v>
      </c>
      <c r="D43" s="52" t="s">
        <v>89</v>
      </c>
      <c r="E43" s="53" t="s">
        <v>143</v>
      </c>
      <c r="F43" s="52" t="s">
        <v>74</v>
      </c>
      <c r="G43" s="102">
        <v>68.900000000000006</v>
      </c>
      <c r="H43" s="103">
        <v>7.5</v>
      </c>
      <c r="I43" s="92">
        <f t="shared" si="0"/>
        <v>0.28370000000000001</v>
      </c>
      <c r="J43" s="54">
        <v>663.51</v>
      </c>
    </row>
    <row r="44" spans="1:11" s="52" customFormat="1" ht="45" x14ac:dyDescent="0.25">
      <c r="A44" s="52" t="s">
        <v>104</v>
      </c>
      <c r="B44" s="52" t="s">
        <v>211</v>
      </c>
      <c r="C44" s="52" t="s">
        <v>10</v>
      </c>
      <c r="D44" s="52" t="s">
        <v>78</v>
      </c>
      <c r="E44" s="53" t="s">
        <v>144</v>
      </c>
      <c r="F44" s="54" t="s">
        <v>121</v>
      </c>
      <c r="G44" s="102">
        <v>3</v>
      </c>
      <c r="H44" s="103">
        <v>680.28</v>
      </c>
      <c r="I44" s="92">
        <f t="shared" si="0"/>
        <v>0.28370000000000001</v>
      </c>
      <c r="J44" s="54">
        <v>2619.84</v>
      </c>
    </row>
    <row r="45" spans="1:11" s="52" customFormat="1" x14ac:dyDescent="0.25">
      <c r="A45" s="52" t="s">
        <v>104</v>
      </c>
      <c r="B45" s="52" t="s">
        <v>212</v>
      </c>
      <c r="C45" s="52" t="s">
        <v>10</v>
      </c>
      <c r="D45" s="52" t="s">
        <v>77</v>
      </c>
      <c r="E45" s="53" t="s">
        <v>145</v>
      </c>
      <c r="F45" s="52" t="s">
        <v>121</v>
      </c>
      <c r="G45" s="102">
        <v>8</v>
      </c>
      <c r="H45" s="103">
        <v>833.87</v>
      </c>
      <c r="I45" s="92">
        <f t="shared" si="0"/>
        <v>0.28370000000000001</v>
      </c>
      <c r="J45" s="54">
        <v>8563.52</v>
      </c>
    </row>
    <row r="46" spans="1:11" s="52" customFormat="1" ht="45" x14ac:dyDescent="0.25">
      <c r="A46" s="52" t="s">
        <v>104</v>
      </c>
      <c r="B46" s="52" t="s">
        <v>213</v>
      </c>
      <c r="C46" s="52" t="s">
        <v>10</v>
      </c>
      <c r="D46" s="52" t="s">
        <v>70</v>
      </c>
      <c r="E46" s="53" t="s">
        <v>146</v>
      </c>
      <c r="F46" s="52" t="s">
        <v>69</v>
      </c>
      <c r="G46" s="102">
        <v>3</v>
      </c>
      <c r="H46" s="103">
        <v>44.95</v>
      </c>
      <c r="I46" s="92">
        <f t="shared" si="0"/>
        <v>0.28370000000000001</v>
      </c>
      <c r="J46" s="54">
        <v>173.1</v>
      </c>
    </row>
    <row r="47" spans="1:11" s="52" customFormat="1" x14ac:dyDescent="0.25">
      <c r="A47" s="96" t="s">
        <v>101</v>
      </c>
      <c r="B47" s="96" t="s">
        <v>19</v>
      </c>
      <c r="C47" s="96"/>
      <c r="D47" s="96"/>
      <c r="E47" s="97" t="s">
        <v>147</v>
      </c>
      <c r="F47" s="96" t="s">
        <v>68</v>
      </c>
      <c r="G47" s="104"/>
      <c r="H47" s="105"/>
      <c r="I47" s="96"/>
      <c r="J47" s="96">
        <f>K47</f>
        <v>5354.18</v>
      </c>
      <c r="K47" s="96">
        <f>SUM(J48:J57)</f>
        <v>5354.18</v>
      </c>
    </row>
    <row r="48" spans="1:11" s="52" customFormat="1" ht="30" x14ac:dyDescent="0.25">
      <c r="A48" s="52" t="s">
        <v>104</v>
      </c>
      <c r="B48" s="52" t="s">
        <v>214</v>
      </c>
      <c r="C48" s="52" t="s">
        <v>10</v>
      </c>
      <c r="D48" s="52">
        <v>97635</v>
      </c>
      <c r="E48" s="53" t="s">
        <v>109</v>
      </c>
      <c r="F48" s="52" t="s">
        <v>71</v>
      </c>
      <c r="G48" s="102">
        <v>28.27</v>
      </c>
      <c r="H48" s="103">
        <v>9.57</v>
      </c>
      <c r="I48" s="92">
        <f t="shared" si="0"/>
        <v>0.28370000000000001</v>
      </c>
      <c r="J48" s="52">
        <v>347.44</v>
      </c>
    </row>
    <row r="49" spans="1:11" s="52" customFormat="1" ht="45" x14ac:dyDescent="0.25">
      <c r="A49" s="52" t="s">
        <v>104</v>
      </c>
      <c r="B49" s="52" t="s">
        <v>215</v>
      </c>
      <c r="C49" s="52" t="s">
        <v>10</v>
      </c>
      <c r="D49" s="52">
        <v>96387</v>
      </c>
      <c r="E49" s="53" t="s">
        <v>148</v>
      </c>
      <c r="F49" s="52" t="s">
        <v>74</v>
      </c>
      <c r="G49" s="102">
        <v>4.24</v>
      </c>
      <c r="H49" s="103">
        <v>6.56</v>
      </c>
      <c r="I49" s="92">
        <f t="shared" si="0"/>
        <v>0.28370000000000001</v>
      </c>
      <c r="J49" s="52">
        <v>35.700000000000003</v>
      </c>
    </row>
    <row r="50" spans="1:11" s="52" customFormat="1" x14ac:dyDescent="0.25">
      <c r="A50" s="52" t="s">
        <v>104</v>
      </c>
      <c r="B50" s="52" t="s">
        <v>216</v>
      </c>
      <c r="C50" s="52" t="s">
        <v>10</v>
      </c>
      <c r="D50" s="52">
        <v>98504</v>
      </c>
      <c r="E50" s="53" t="s">
        <v>122</v>
      </c>
      <c r="F50" s="52" t="s">
        <v>71</v>
      </c>
      <c r="G50" s="102">
        <v>28.27</v>
      </c>
      <c r="H50" s="103">
        <v>13.2</v>
      </c>
      <c r="I50" s="92">
        <f t="shared" si="0"/>
        <v>0.28370000000000001</v>
      </c>
      <c r="J50" s="54">
        <v>478.89</v>
      </c>
    </row>
    <row r="51" spans="1:11" s="52" customFormat="1" ht="30" x14ac:dyDescent="0.25">
      <c r="A51" s="52" t="s">
        <v>104</v>
      </c>
      <c r="B51" s="52" t="s">
        <v>217</v>
      </c>
      <c r="C51" s="52" t="s">
        <v>10</v>
      </c>
      <c r="D51" s="52">
        <v>98510</v>
      </c>
      <c r="E51" s="53" t="s">
        <v>149</v>
      </c>
      <c r="F51" s="52" t="s">
        <v>121</v>
      </c>
      <c r="G51" s="102">
        <v>10</v>
      </c>
      <c r="H51" s="103">
        <v>43.92</v>
      </c>
      <c r="I51" s="92">
        <f t="shared" si="0"/>
        <v>0.28370000000000001</v>
      </c>
      <c r="J51" s="54">
        <v>563.79999999999995</v>
      </c>
    </row>
    <row r="52" spans="1:11" s="52" customFormat="1" x14ac:dyDescent="0.25">
      <c r="A52" s="52" t="s">
        <v>104</v>
      </c>
      <c r="B52" s="52" t="s">
        <v>218</v>
      </c>
      <c r="C52" s="52" t="s">
        <v>10</v>
      </c>
      <c r="D52" s="52">
        <v>98505</v>
      </c>
      <c r="E52" s="53" t="s">
        <v>150</v>
      </c>
      <c r="F52" s="52" t="s">
        <v>71</v>
      </c>
      <c r="G52" s="102">
        <v>28.27</v>
      </c>
      <c r="H52" s="103">
        <v>39.86</v>
      </c>
      <c r="I52" s="92">
        <f t="shared" si="0"/>
        <v>0.28370000000000001</v>
      </c>
      <c r="J52" s="54">
        <v>1446.58</v>
      </c>
    </row>
    <row r="53" spans="1:11" s="52" customFormat="1" ht="30" x14ac:dyDescent="0.25">
      <c r="A53" s="52" t="s">
        <v>104</v>
      </c>
      <c r="B53" s="52" t="s">
        <v>219</v>
      </c>
      <c r="C53" s="52" t="s">
        <v>10</v>
      </c>
      <c r="D53" s="52">
        <v>94266</v>
      </c>
      <c r="E53" s="53" t="s">
        <v>151</v>
      </c>
      <c r="F53" s="52" t="s">
        <v>69</v>
      </c>
      <c r="G53" s="102">
        <v>18.850000000000001</v>
      </c>
      <c r="H53" s="103">
        <v>30.68</v>
      </c>
      <c r="I53" s="92">
        <f t="shared" si="0"/>
        <v>0.28370000000000001</v>
      </c>
      <c r="J53" s="54">
        <v>742.31</v>
      </c>
    </row>
    <row r="54" spans="1:11" s="52" customFormat="1" ht="30" x14ac:dyDescent="0.25">
      <c r="A54" s="52" t="s">
        <v>104</v>
      </c>
      <c r="B54" s="52" t="s">
        <v>220</v>
      </c>
      <c r="C54" s="52" t="s">
        <v>10</v>
      </c>
      <c r="D54" s="52">
        <v>84665</v>
      </c>
      <c r="E54" s="53" t="s">
        <v>152</v>
      </c>
      <c r="F54" s="52" t="s">
        <v>71</v>
      </c>
      <c r="G54" s="102">
        <v>3.77</v>
      </c>
      <c r="H54" s="103">
        <v>16.7</v>
      </c>
      <c r="I54" s="92">
        <f t="shared" si="0"/>
        <v>0.28370000000000001</v>
      </c>
      <c r="J54" s="54">
        <v>80.83</v>
      </c>
    </row>
    <row r="55" spans="1:11" s="52" customFormat="1" ht="45" x14ac:dyDescent="0.25">
      <c r="A55" s="52" t="s">
        <v>104</v>
      </c>
      <c r="B55" s="52" t="s">
        <v>221</v>
      </c>
      <c r="C55" s="52" t="s">
        <v>10</v>
      </c>
      <c r="D55" s="52">
        <v>92335</v>
      </c>
      <c r="E55" s="53" t="s">
        <v>153</v>
      </c>
      <c r="F55" s="52" t="s">
        <v>69</v>
      </c>
      <c r="G55" s="102">
        <v>11.6</v>
      </c>
      <c r="H55" s="103">
        <v>57.13</v>
      </c>
      <c r="I55" s="92">
        <f t="shared" si="0"/>
        <v>0.28370000000000001</v>
      </c>
      <c r="J55" s="54">
        <v>850.74</v>
      </c>
    </row>
    <row r="56" spans="1:11" s="52" customFormat="1" ht="30" x14ac:dyDescent="0.25">
      <c r="A56" s="52" t="s">
        <v>104</v>
      </c>
      <c r="B56" s="52" t="s">
        <v>222</v>
      </c>
      <c r="C56" s="52" t="s">
        <v>10</v>
      </c>
      <c r="D56" s="52">
        <v>94963</v>
      </c>
      <c r="E56" s="53" t="s">
        <v>154</v>
      </c>
      <c r="F56" s="52" t="s">
        <v>74</v>
      </c>
      <c r="G56" s="102">
        <v>0.22</v>
      </c>
      <c r="H56" s="103">
        <v>294.86</v>
      </c>
      <c r="I56" s="92">
        <f t="shared" si="0"/>
        <v>0.28370000000000001</v>
      </c>
      <c r="J56" s="52">
        <v>83.27</v>
      </c>
    </row>
    <row r="57" spans="1:11" s="52" customFormat="1" ht="30" x14ac:dyDescent="0.25">
      <c r="A57" s="52" t="s">
        <v>104</v>
      </c>
      <c r="B57" s="52" t="s">
        <v>223</v>
      </c>
      <c r="C57" s="52" t="s">
        <v>10</v>
      </c>
      <c r="D57" s="52">
        <v>34721</v>
      </c>
      <c r="E57" s="53" t="s">
        <v>155</v>
      </c>
      <c r="F57" s="52" t="s">
        <v>71</v>
      </c>
      <c r="G57" s="102">
        <v>0.8</v>
      </c>
      <c r="H57" s="103">
        <v>705.6</v>
      </c>
      <c r="I57" s="92">
        <f t="shared" si="0"/>
        <v>0.28370000000000001</v>
      </c>
      <c r="J57" s="52">
        <v>724.62</v>
      </c>
    </row>
    <row r="58" spans="1:11" s="52" customFormat="1" x14ac:dyDescent="0.25">
      <c r="A58" s="96" t="s">
        <v>101</v>
      </c>
      <c r="B58" s="96" t="s">
        <v>21</v>
      </c>
      <c r="C58" s="96"/>
      <c r="D58" s="96"/>
      <c r="E58" s="97" t="s">
        <v>156</v>
      </c>
      <c r="F58" s="96" t="s">
        <v>68</v>
      </c>
      <c r="G58" s="104"/>
      <c r="H58" s="105"/>
      <c r="I58" s="96"/>
      <c r="J58" s="96">
        <f>K58</f>
        <v>21299.659999999996</v>
      </c>
      <c r="K58" s="96">
        <f>SUM(J59:J72)</f>
        <v>21299.659999999996</v>
      </c>
    </row>
    <row r="59" spans="1:11" s="52" customFormat="1" ht="30" x14ac:dyDescent="0.25">
      <c r="A59" s="52" t="s">
        <v>104</v>
      </c>
      <c r="B59" s="52" t="s">
        <v>224</v>
      </c>
      <c r="C59" s="52" t="s">
        <v>10</v>
      </c>
      <c r="D59" s="52">
        <v>97633</v>
      </c>
      <c r="E59" s="53" t="s">
        <v>157</v>
      </c>
      <c r="F59" s="52" t="s">
        <v>71</v>
      </c>
      <c r="G59" s="102">
        <v>20.9</v>
      </c>
      <c r="H59" s="103">
        <v>14.54</v>
      </c>
      <c r="I59" s="92">
        <f t="shared" si="0"/>
        <v>0.28370000000000001</v>
      </c>
      <c r="J59" s="52">
        <v>389.99</v>
      </c>
    </row>
    <row r="60" spans="1:11" s="52" customFormat="1" ht="30" x14ac:dyDescent="0.25">
      <c r="A60" s="52" t="s">
        <v>104</v>
      </c>
      <c r="B60" s="52" t="s">
        <v>225</v>
      </c>
      <c r="C60" s="52" t="s">
        <v>10</v>
      </c>
      <c r="D60" s="52">
        <v>97633</v>
      </c>
      <c r="E60" s="53" t="s">
        <v>157</v>
      </c>
      <c r="F60" s="52" t="s">
        <v>71</v>
      </c>
      <c r="G60" s="102">
        <v>67.739999999999995</v>
      </c>
      <c r="H60" s="103">
        <v>14.54</v>
      </c>
      <c r="I60" s="92">
        <f t="shared" si="0"/>
        <v>0.28370000000000001</v>
      </c>
      <c r="J60" s="54">
        <v>1264.03</v>
      </c>
    </row>
    <row r="61" spans="1:11" s="52" customFormat="1" ht="30" x14ac:dyDescent="0.25">
      <c r="A61" s="52" t="s">
        <v>104</v>
      </c>
      <c r="B61" s="52" t="s">
        <v>226</v>
      </c>
      <c r="C61" s="52" t="s">
        <v>10</v>
      </c>
      <c r="D61" s="52">
        <v>88494</v>
      </c>
      <c r="E61" s="53" t="s">
        <v>158</v>
      </c>
      <c r="F61" s="52" t="s">
        <v>71</v>
      </c>
      <c r="G61" s="102">
        <v>20.9</v>
      </c>
      <c r="H61" s="103">
        <v>13.88</v>
      </c>
      <c r="I61" s="92">
        <f t="shared" si="0"/>
        <v>0.28370000000000001</v>
      </c>
      <c r="J61" s="54">
        <v>372.44</v>
      </c>
    </row>
    <row r="62" spans="1:11" s="52" customFormat="1" ht="45" x14ac:dyDescent="0.25">
      <c r="A62" s="52" t="s">
        <v>104</v>
      </c>
      <c r="B62" s="52" t="s">
        <v>227</v>
      </c>
      <c r="C62" s="52" t="s">
        <v>10</v>
      </c>
      <c r="D62" s="52">
        <v>87263</v>
      </c>
      <c r="E62" s="53" t="s">
        <v>159</v>
      </c>
      <c r="F62" s="52" t="s">
        <v>71</v>
      </c>
      <c r="G62" s="102">
        <v>20.9</v>
      </c>
      <c r="H62" s="103">
        <v>79.459999999999994</v>
      </c>
      <c r="I62" s="92">
        <f t="shared" si="0"/>
        <v>0.28370000000000001</v>
      </c>
      <c r="J62" s="54">
        <v>2131.8000000000002</v>
      </c>
    </row>
    <row r="63" spans="1:11" s="52" customFormat="1" ht="60" x14ac:dyDescent="0.25">
      <c r="A63" s="52" t="s">
        <v>104</v>
      </c>
      <c r="B63" s="52" t="s">
        <v>228</v>
      </c>
      <c r="C63" s="52" t="s">
        <v>10</v>
      </c>
      <c r="D63" s="52">
        <v>87273</v>
      </c>
      <c r="E63" s="53" t="s">
        <v>160</v>
      </c>
      <c r="F63" s="52" t="s">
        <v>71</v>
      </c>
      <c r="G63" s="102">
        <v>67.739999999999995</v>
      </c>
      <c r="H63" s="103">
        <v>50.29</v>
      </c>
      <c r="I63" s="92">
        <f t="shared" si="0"/>
        <v>0.28370000000000001</v>
      </c>
      <c r="J63" s="54">
        <v>4373.29</v>
      </c>
    </row>
    <row r="64" spans="1:11" s="52" customFormat="1" x14ac:dyDescent="0.25">
      <c r="A64" s="52" t="s">
        <v>104</v>
      </c>
      <c r="B64" s="52" t="s">
        <v>229</v>
      </c>
      <c r="C64" s="52" t="s">
        <v>10</v>
      </c>
      <c r="D64" s="52">
        <v>85421</v>
      </c>
      <c r="E64" s="53" t="s">
        <v>161</v>
      </c>
      <c r="F64" s="52" t="s">
        <v>71</v>
      </c>
      <c r="G64" s="102">
        <v>0.16</v>
      </c>
      <c r="H64" s="103">
        <v>11.02</v>
      </c>
      <c r="I64" s="92">
        <f t="shared" si="0"/>
        <v>0.28370000000000001</v>
      </c>
      <c r="J64" s="54">
        <v>2.2599999999999998</v>
      </c>
    </row>
    <row r="65" spans="1:11" s="52" customFormat="1" x14ac:dyDescent="0.25">
      <c r="A65" s="52" t="s">
        <v>104</v>
      </c>
      <c r="B65" s="52" t="s">
        <v>230</v>
      </c>
      <c r="C65" s="52" t="s">
        <v>10</v>
      </c>
      <c r="D65" s="52">
        <v>72122</v>
      </c>
      <c r="E65" s="53" t="s">
        <v>79</v>
      </c>
      <c r="F65" s="52" t="s">
        <v>71</v>
      </c>
      <c r="G65" s="102">
        <v>0.16</v>
      </c>
      <c r="H65" s="103">
        <v>95.46</v>
      </c>
      <c r="I65" s="92">
        <f t="shared" si="0"/>
        <v>0.28370000000000001</v>
      </c>
      <c r="J65" s="54">
        <v>19.61</v>
      </c>
    </row>
    <row r="66" spans="1:11" s="52" customFormat="1" x14ac:dyDescent="0.25">
      <c r="A66" s="52" t="s">
        <v>104</v>
      </c>
      <c r="B66" s="52" t="s">
        <v>231</v>
      </c>
      <c r="C66" s="52" t="s">
        <v>10</v>
      </c>
      <c r="D66" s="52">
        <v>98689</v>
      </c>
      <c r="E66" s="53" t="s">
        <v>162</v>
      </c>
      <c r="F66" s="52" t="s">
        <v>69</v>
      </c>
      <c r="G66" s="102">
        <v>2.7</v>
      </c>
      <c r="H66" s="103">
        <v>86.41</v>
      </c>
      <c r="I66" s="92">
        <f t="shared" si="0"/>
        <v>0.28370000000000001</v>
      </c>
      <c r="J66" s="54">
        <v>299.48</v>
      </c>
    </row>
    <row r="67" spans="1:11" s="52" customFormat="1" ht="30" x14ac:dyDescent="0.25">
      <c r="A67" s="52" t="s">
        <v>104</v>
      </c>
      <c r="B67" s="52" t="s">
        <v>232</v>
      </c>
      <c r="C67" s="52" t="s">
        <v>10</v>
      </c>
      <c r="D67" s="52">
        <v>72178</v>
      </c>
      <c r="E67" s="53" t="s">
        <v>163</v>
      </c>
      <c r="F67" s="52" t="s">
        <v>71</v>
      </c>
      <c r="G67" s="102">
        <v>17.059999999999999</v>
      </c>
      <c r="H67" s="103">
        <v>18.18</v>
      </c>
      <c r="I67" s="92">
        <f t="shared" si="0"/>
        <v>0.28370000000000001</v>
      </c>
      <c r="J67" s="52">
        <v>398.18</v>
      </c>
    </row>
    <row r="68" spans="1:11" s="52" customFormat="1" ht="45" x14ac:dyDescent="0.25">
      <c r="A68" s="52" t="s">
        <v>104</v>
      </c>
      <c r="B68" s="52" t="s">
        <v>233</v>
      </c>
      <c r="C68" s="52" t="s">
        <v>10</v>
      </c>
      <c r="D68" s="52" t="s">
        <v>91</v>
      </c>
      <c r="E68" s="53" t="s">
        <v>164</v>
      </c>
      <c r="F68" s="52" t="s">
        <v>71</v>
      </c>
      <c r="G68" s="102">
        <v>12.05</v>
      </c>
      <c r="H68" s="103">
        <v>276.57</v>
      </c>
      <c r="I68" s="92">
        <f t="shared" si="0"/>
        <v>0.28370000000000001</v>
      </c>
      <c r="J68" s="52">
        <v>4278.1099999999997</v>
      </c>
    </row>
    <row r="69" spans="1:11" s="52" customFormat="1" ht="45" x14ac:dyDescent="0.25">
      <c r="A69" s="52" t="s">
        <v>104</v>
      </c>
      <c r="B69" s="52" t="s">
        <v>234</v>
      </c>
      <c r="C69" s="52" t="s">
        <v>10</v>
      </c>
      <c r="D69" s="52">
        <v>90820</v>
      </c>
      <c r="E69" s="53" t="s">
        <v>165</v>
      </c>
      <c r="F69" s="52" t="s">
        <v>121</v>
      </c>
      <c r="G69" s="102">
        <v>4</v>
      </c>
      <c r="H69" s="103">
        <v>348.21</v>
      </c>
      <c r="I69" s="92">
        <f t="shared" si="0"/>
        <v>0.28370000000000001</v>
      </c>
      <c r="J69" s="54">
        <v>1788</v>
      </c>
    </row>
    <row r="70" spans="1:11" s="52" customFormat="1" ht="45" x14ac:dyDescent="0.25">
      <c r="A70" s="52" t="s">
        <v>104</v>
      </c>
      <c r="B70" s="52" t="s">
        <v>235</v>
      </c>
      <c r="C70" s="52" t="s">
        <v>10</v>
      </c>
      <c r="D70" s="52">
        <v>84647</v>
      </c>
      <c r="E70" s="53" t="s">
        <v>166</v>
      </c>
      <c r="F70" s="52" t="s">
        <v>71</v>
      </c>
      <c r="G70" s="102">
        <v>11.34</v>
      </c>
      <c r="H70" s="103">
        <v>126.38</v>
      </c>
      <c r="I70" s="92">
        <f t="shared" si="0"/>
        <v>0.28370000000000001</v>
      </c>
      <c r="J70" s="54">
        <v>1839.69</v>
      </c>
    </row>
    <row r="71" spans="1:11" s="52" customFormat="1" ht="30" x14ac:dyDescent="0.25">
      <c r="A71" s="52" t="s">
        <v>104</v>
      </c>
      <c r="B71" s="52" t="s">
        <v>236</v>
      </c>
      <c r="C71" s="52" t="s">
        <v>10</v>
      </c>
      <c r="D71" s="52">
        <v>97624</v>
      </c>
      <c r="E71" s="53" t="s">
        <v>167</v>
      </c>
      <c r="F71" s="54" t="s">
        <v>74</v>
      </c>
      <c r="G71" s="102">
        <v>1.22</v>
      </c>
      <c r="H71" s="103">
        <v>69.19</v>
      </c>
      <c r="I71" s="92">
        <f t="shared" si="0"/>
        <v>0.28370000000000001</v>
      </c>
      <c r="J71" s="54">
        <v>108.36</v>
      </c>
    </row>
    <row r="72" spans="1:11" s="52" customFormat="1" x14ac:dyDescent="0.25">
      <c r="A72" s="52" t="s">
        <v>104</v>
      </c>
      <c r="B72" s="52" t="s">
        <v>237</v>
      </c>
      <c r="C72" s="52" t="s">
        <v>10</v>
      </c>
      <c r="D72" s="52">
        <v>73631</v>
      </c>
      <c r="E72" s="53" t="s">
        <v>168</v>
      </c>
      <c r="F72" s="52" t="s">
        <v>71</v>
      </c>
      <c r="G72" s="102">
        <v>10.15</v>
      </c>
      <c r="H72" s="103">
        <v>309.64</v>
      </c>
      <c r="I72" s="92">
        <f t="shared" si="0"/>
        <v>0.28370000000000001</v>
      </c>
      <c r="J72" s="54">
        <v>4034.42</v>
      </c>
    </row>
    <row r="73" spans="1:11" s="52" customFormat="1" x14ac:dyDescent="0.25">
      <c r="A73" s="96" t="s">
        <v>101</v>
      </c>
      <c r="B73" s="96" t="s">
        <v>22</v>
      </c>
      <c r="C73" s="96"/>
      <c r="D73" s="96"/>
      <c r="E73" s="97" t="s">
        <v>169</v>
      </c>
      <c r="F73" s="96" t="s">
        <v>68</v>
      </c>
      <c r="G73" s="104"/>
      <c r="H73" s="105"/>
      <c r="I73" s="96"/>
      <c r="J73" s="100">
        <f>K73</f>
        <v>8846.99</v>
      </c>
      <c r="K73" s="100">
        <f>SUM(J74,J80)</f>
        <v>8846.99</v>
      </c>
    </row>
    <row r="74" spans="1:11" s="52" customFormat="1" x14ac:dyDescent="0.25">
      <c r="A74" s="55" t="s">
        <v>170</v>
      </c>
      <c r="B74" s="55" t="s">
        <v>238</v>
      </c>
      <c r="C74" s="55"/>
      <c r="D74" s="55"/>
      <c r="E74" s="56" t="s">
        <v>171</v>
      </c>
      <c r="F74" s="55" t="s">
        <v>68</v>
      </c>
      <c r="G74" s="106"/>
      <c r="H74" s="107"/>
      <c r="I74" s="95"/>
      <c r="J74" s="57">
        <f>K74</f>
        <v>5012.25</v>
      </c>
      <c r="K74" s="57">
        <f>SUM(J75:J79)</f>
        <v>5012.25</v>
      </c>
    </row>
    <row r="75" spans="1:11" s="52" customFormat="1" ht="30" x14ac:dyDescent="0.25">
      <c r="A75" s="52" t="s">
        <v>104</v>
      </c>
      <c r="B75" s="52" t="s">
        <v>239</v>
      </c>
      <c r="C75" s="52" t="s">
        <v>10</v>
      </c>
      <c r="D75" s="52">
        <v>97635</v>
      </c>
      <c r="E75" s="53" t="s">
        <v>109</v>
      </c>
      <c r="F75" s="54" t="s">
        <v>71</v>
      </c>
      <c r="G75" s="102">
        <v>62.8</v>
      </c>
      <c r="H75" s="103">
        <v>9.57</v>
      </c>
      <c r="I75" s="92">
        <f t="shared" ref="I75:I86" si="1">$C$7</f>
        <v>0.28370000000000001</v>
      </c>
      <c r="J75" s="54">
        <v>771.81</v>
      </c>
    </row>
    <row r="76" spans="1:11" s="52" customFormat="1" ht="45" x14ac:dyDescent="0.25">
      <c r="A76" s="52" t="s">
        <v>104</v>
      </c>
      <c r="B76" s="52" t="s">
        <v>240</v>
      </c>
      <c r="C76" s="52" t="s">
        <v>10</v>
      </c>
      <c r="D76" s="52">
        <v>96387</v>
      </c>
      <c r="E76" s="53" t="s">
        <v>148</v>
      </c>
      <c r="F76" s="52" t="s">
        <v>74</v>
      </c>
      <c r="G76" s="102">
        <v>6.28</v>
      </c>
      <c r="H76" s="103">
        <v>6.56</v>
      </c>
      <c r="I76" s="92">
        <f t="shared" si="1"/>
        <v>0.28370000000000001</v>
      </c>
      <c r="J76" s="54">
        <v>52.88</v>
      </c>
    </row>
    <row r="77" spans="1:11" s="52" customFormat="1" x14ac:dyDescent="0.25">
      <c r="A77" s="52" t="s">
        <v>104</v>
      </c>
      <c r="B77" s="52" t="s">
        <v>241</v>
      </c>
      <c r="C77" s="52" t="s">
        <v>10</v>
      </c>
      <c r="D77" s="52">
        <v>83668</v>
      </c>
      <c r="E77" s="53" t="s">
        <v>136</v>
      </c>
      <c r="F77" s="52" t="s">
        <v>74</v>
      </c>
      <c r="G77" s="102">
        <v>4.4000000000000004</v>
      </c>
      <c r="H77" s="103">
        <v>86.04</v>
      </c>
      <c r="I77" s="92">
        <f t="shared" si="1"/>
        <v>0.28370000000000001</v>
      </c>
      <c r="J77" s="54">
        <v>485.98</v>
      </c>
    </row>
    <row r="78" spans="1:11" s="52" customFormat="1" ht="30" x14ac:dyDescent="0.25">
      <c r="A78" s="52" t="s">
        <v>104</v>
      </c>
      <c r="B78" s="52" t="s">
        <v>242</v>
      </c>
      <c r="C78" s="52" t="s">
        <v>10</v>
      </c>
      <c r="D78" s="52">
        <v>92405</v>
      </c>
      <c r="E78" s="53" t="s">
        <v>172</v>
      </c>
      <c r="F78" s="52" t="s">
        <v>71</v>
      </c>
      <c r="G78" s="102">
        <v>47.23</v>
      </c>
      <c r="H78" s="103">
        <v>45.83</v>
      </c>
      <c r="I78" s="92">
        <f t="shared" si="1"/>
        <v>0.28370000000000001</v>
      </c>
      <c r="J78" s="52">
        <v>2778.54</v>
      </c>
    </row>
    <row r="79" spans="1:11" s="52" customFormat="1" ht="30" x14ac:dyDescent="0.25">
      <c r="A79" s="52" t="s">
        <v>104</v>
      </c>
      <c r="B79" s="52" t="s">
        <v>243</v>
      </c>
      <c r="C79" s="52" t="s">
        <v>10</v>
      </c>
      <c r="D79" s="52">
        <v>92405</v>
      </c>
      <c r="E79" s="53" t="s">
        <v>173</v>
      </c>
      <c r="F79" s="52" t="s">
        <v>71</v>
      </c>
      <c r="G79" s="102">
        <v>15.69</v>
      </c>
      <c r="H79" s="103">
        <v>45.83</v>
      </c>
      <c r="I79" s="92">
        <f t="shared" si="1"/>
        <v>0.28370000000000001</v>
      </c>
      <c r="J79" s="52">
        <v>923.04</v>
      </c>
    </row>
    <row r="80" spans="1:11" s="52" customFormat="1" x14ac:dyDescent="0.25">
      <c r="A80" s="55" t="s">
        <v>170</v>
      </c>
      <c r="B80" s="55" t="s">
        <v>244</v>
      </c>
      <c r="C80" s="55"/>
      <c r="D80" s="55"/>
      <c r="E80" s="56" t="s">
        <v>174</v>
      </c>
      <c r="F80" s="55" t="s">
        <v>68</v>
      </c>
      <c r="G80" s="106"/>
      <c r="H80" s="107"/>
      <c r="I80" s="95"/>
      <c r="J80" s="57">
        <f>K80</f>
        <v>3834.74</v>
      </c>
      <c r="K80" s="93">
        <f>SUM(J81:J83)</f>
        <v>3834.74</v>
      </c>
    </row>
    <row r="81" spans="1:11" s="52" customFormat="1" ht="45" x14ac:dyDescent="0.25">
      <c r="A81" s="52" t="s">
        <v>104</v>
      </c>
      <c r="B81" s="52" t="s">
        <v>245</v>
      </c>
      <c r="C81" s="52" t="s">
        <v>10</v>
      </c>
      <c r="D81" s="52">
        <v>92335</v>
      </c>
      <c r="E81" s="53" t="s">
        <v>175</v>
      </c>
      <c r="F81" s="52" t="s">
        <v>69</v>
      </c>
      <c r="G81" s="102">
        <v>16.2</v>
      </c>
      <c r="H81" s="103">
        <v>57.13</v>
      </c>
      <c r="I81" s="92">
        <f t="shared" si="1"/>
        <v>0.28370000000000001</v>
      </c>
      <c r="J81" s="54">
        <v>1188.1099999999999</v>
      </c>
      <c r="K81" s="94"/>
    </row>
    <row r="82" spans="1:11" s="52" customFormat="1" ht="30" x14ac:dyDescent="0.25">
      <c r="A82" s="52" t="s">
        <v>104</v>
      </c>
      <c r="B82" s="52" t="s">
        <v>246</v>
      </c>
      <c r="C82" s="52" t="s">
        <v>10</v>
      </c>
      <c r="D82" s="52">
        <v>94963</v>
      </c>
      <c r="E82" s="53" t="s">
        <v>176</v>
      </c>
      <c r="F82" s="52" t="s">
        <v>74</v>
      </c>
      <c r="G82" s="102">
        <v>0.22</v>
      </c>
      <c r="H82" s="103">
        <v>294.86</v>
      </c>
      <c r="I82" s="92">
        <f t="shared" si="1"/>
        <v>0.28370000000000001</v>
      </c>
      <c r="J82" s="54">
        <v>83.27</v>
      </c>
      <c r="K82" s="94"/>
    </row>
    <row r="83" spans="1:11" s="52" customFormat="1" ht="30" x14ac:dyDescent="0.25">
      <c r="A83" s="52" t="s">
        <v>104</v>
      </c>
      <c r="B83" s="52" t="s">
        <v>247</v>
      </c>
      <c r="C83" s="52" t="s">
        <v>10</v>
      </c>
      <c r="D83" s="52">
        <v>34721</v>
      </c>
      <c r="E83" s="53" t="s">
        <v>177</v>
      </c>
      <c r="F83" s="52" t="s">
        <v>71</v>
      </c>
      <c r="G83" s="102">
        <v>2.83</v>
      </c>
      <c r="H83" s="103">
        <v>705.6</v>
      </c>
      <c r="I83" s="92">
        <f t="shared" si="1"/>
        <v>0.28370000000000001</v>
      </c>
      <c r="J83" s="52">
        <v>2563.36</v>
      </c>
      <c r="K83" s="94"/>
    </row>
    <row r="84" spans="1:11" s="52" customFormat="1" x14ac:dyDescent="0.25">
      <c r="A84" s="96" t="s">
        <v>101</v>
      </c>
      <c r="B84" s="96" t="s">
        <v>248</v>
      </c>
      <c r="C84" s="96"/>
      <c r="D84" s="96"/>
      <c r="E84" s="97" t="s">
        <v>178</v>
      </c>
      <c r="F84" s="96" t="s">
        <v>68</v>
      </c>
      <c r="G84" s="104"/>
      <c r="H84" s="105"/>
      <c r="I84" s="96"/>
      <c r="J84" s="96">
        <f>K84</f>
        <v>3883.31</v>
      </c>
      <c r="K84" s="99">
        <f>SUM(J85:J86)</f>
        <v>3883.31</v>
      </c>
    </row>
    <row r="85" spans="1:11" s="52" customFormat="1" ht="30" x14ac:dyDescent="0.25">
      <c r="A85" s="52" t="s">
        <v>104</v>
      </c>
      <c r="B85" s="52" t="s">
        <v>249</v>
      </c>
      <c r="C85" s="52" t="s">
        <v>10</v>
      </c>
      <c r="D85" s="52">
        <v>72897</v>
      </c>
      <c r="E85" s="53" t="s">
        <v>179</v>
      </c>
      <c r="F85" s="52" t="s">
        <v>74</v>
      </c>
      <c r="G85" s="102">
        <v>75.489999999999995</v>
      </c>
      <c r="H85" s="103">
        <v>18.489999999999998</v>
      </c>
      <c r="I85" s="92">
        <f t="shared" si="1"/>
        <v>0.28370000000000001</v>
      </c>
      <c r="J85" s="52">
        <v>1792.13</v>
      </c>
    </row>
    <row r="86" spans="1:11" s="52" customFormat="1" x14ac:dyDescent="0.25">
      <c r="A86" s="52" t="s">
        <v>104</v>
      </c>
      <c r="B86" s="52" t="s">
        <v>250</v>
      </c>
      <c r="C86" s="52" t="s">
        <v>10</v>
      </c>
      <c r="D86" s="52">
        <v>9537</v>
      </c>
      <c r="E86" s="53" t="s">
        <v>180</v>
      </c>
      <c r="F86" s="52" t="s">
        <v>71</v>
      </c>
      <c r="G86" s="102">
        <v>754.94</v>
      </c>
      <c r="H86" s="103">
        <v>2.16</v>
      </c>
      <c r="I86" s="92">
        <f t="shared" si="1"/>
        <v>0.28370000000000001</v>
      </c>
      <c r="J86" s="52">
        <v>2091.1799999999998</v>
      </c>
    </row>
    <row r="88" spans="1:11" x14ac:dyDescent="0.25">
      <c r="A88" s="7" t="s">
        <v>23</v>
      </c>
      <c r="C88" s="21" t="s">
        <v>24</v>
      </c>
      <c r="D88" s="21"/>
      <c r="E88" s="21"/>
      <c r="F88" s="21"/>
      <c r="G88" s="21"/>
      <c r="H88" s="21"/>
      <c r="I88" s="21"/>
      <c r="J88" s="21"/>
    </row>
    <row r="90" spans="1:11" x14ac:dyDescent="0.25">
      <c r="G90" s="20" t="s">
        <v>265</v>
      </c>
      <c r="H90" s="20"/>
      <c r="I90" s="20"/>
      <c r="J90" s="20"/>
    </row>
    <row r="91" spans="1:11" x14ac:dyDescent="0.25">
      <c r="A91" s="20" t="s">
        <v>30</v>
      </c>
      <c r="B91" s="20"/>
      <c r="C91" s="20"/>
    </row>
    <row r="92" spans="1:11" x14ac:dyDescent="0.25">
      <c r="A92" s="20" t="s">
        <v>267</v>
      </c>
      <c r="B92" s="20"/>
      <c r="C92" s="20"/>
    </row>
    <row r="93" spans="1:11" x14ac:dyDescent="0.25">
      <c r="A93" s="20" t="s">
        <v>254</v>
      </c>
      <c r="B93" s="20"/>
      <c r="C93" s="20"/>
    </row>
  </sheetData>
  <mergeCells count="15">
    <mergeCell ref="A6:B6"/>
    <mergeCell ref="A7:B7"/>
    <mergeCell ref="A3:J3"/>
    <mergeCell ref="C4:E4"/>
    <mergeCell ref="C5:E5"/>
    <mergeCell ref="C6:E6"/>
    <mergeCell ref="C7:E7"/>
    <mergeCell ref="A1:J2"/>
    <mergeCell ref="A4:B4"/>
    <mergeCell ref="A5:B5"/>
    <mergeCell ref="A91:C91"/>
    <mergeCell ref="A92:C92"/>
    <mergeCell ref="A93:C93"/>
    <mergeCell ref="G90:J90"/>
    <mergeCell ref="C88:J8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workbookViewId="0">
      <selection activeCell="N16" sqref="N16"/>
    </sheetView>
  </sheetViews>
  <sheetFormatPr defaultRowHeight="15" x14ac:dyDescent="0.25"/>
  <cols>
    <col min="1" max="2" width="11.7109375" style="4" customWidth="1"/>
    <col min="3" max="3" width="13.7109375" style="4" customWidth="1"/>
    <col min="4" max="4" width="14.28515625" style="4" customWidth="1"/>
    <col min="5" max="5" width="15.85546875" style="4" bestFit="1" customWidth="1"/>
    <col min="6" max="10" width="13.28515625" style="4" bestFit="1" customWidth="1"/>
    <col min="11" max="11" width="14.28515625" style="4" bestFit="1" customWidth="1"/>
    <col min="12" max="12" width="9.140625" style="4"/>
    <col min="13" max="13" width="10.140625" style="4" bestFit="1" customWidth="1"/>
    <col min="14" max="14" width="14.28515625" style="4" bestFit="1" customWidth="1"/>
    <col min="15" max="15" width="13.28515625" style="4" bestFit="1" customWidth="1"/>
    <col min="16" max="16384" width="9.140625" style="4"/>
  </cols>
  <sheetData>
    <row r="1" spans="1:17" ht="15" customHeight="1" x14ac:dyDescent="0.2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7" ht="51.7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7" ht="15" customHeight="1" x14ac:dyDescent="0.25">
      <c r="A3" s="28" t="s">
        <v>32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7" ht="15" customHeight="1" x14ac:dyDescent="0.25">
      <c r="A4" s="26" t="s">
        <v>33</v>
      </c>
      <c r="B4" s="110" t="s">
        <v>34</v>
      </c>
      <c r="C4" s="111"/>
      <c r="D4" s="26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6" t="s">
        <v>41</v>
      </c>
      <c r="K4" s="29">
        <f>SUM(K6:K23)</f>
        <v>246843.32000000004</v>
      </c>
    </row>
    <row r="5" spans="1:17" ht="15" customHeight="1" x14ac:dyDescent="0.25">
      <c r="A5" s="27"/>
      <c r="B5" s="112"/>
      <c r="C5" s="113"/>
      <c r="D5" s="27"/>
      <c r="E5" s="121"/>
      <c r="F5" s="121"/>
      <c r="G5" s="121"/>
      <c r="H5" s="121"/>
      <c r="I5" s="121"/>
      <c r="J5" s="121"/>
      <c r="K5" s="30"/>
    </row>
    <row r="6" spans="1:17" ht="15" customHeight="1" x14ac:dyDescent="0.25">
      <c r="A6" s="25" t="s">
        <v>8</v>
      </c>
      <c r="B6" s="25" t="s">
        <v>9</v>
      </c>
      <c r="C6" s="25"/>
      <c r="D6" s="23">
        <v>25428.22</v>
      </c>
      <c r="E6" s="123">
        <v>1</v>
      </c>
      <c r="F6" s="122"/>
      <c r="G6" s="122"/>
      <c r="H6" s="122"/>
      <c r="I6" s="122"/>
      <c r="J6" s="122"/>
      <c r="K6" s="24">
        <f>SUM(E7:J7)</f>
        <v>25428.22</v>
      </c>
      <c r="L6" s="126"/>
    </row>
    <row r="7" spans="1:17" ht="15" customHeight="1" x14ac:dyDescent="0.25">
      <c r="A7" s="25"/>
      <c r="B7" s="25"/>
      <c r="C7" s="25"/>
      <c r="D7" s="23"/>
      <c r="E7" s="124">
        <v>25428.22</v>
      </c>
      <c r="F7" s="10"/>
      <c r="G7" s="10"/>
      <c r="H7" s="10"/>
      <c r="I7" s="10"/>
      <c r="J7" s="10"/>
      <c r="K7" s="24"/>
      <c r="L7" s="126"/>
    </row>
    <row r="8" spans="1:17" ht="15" customHeight="1" x14ac:dyDescent="0.25">
      <c r="A8" s="25" t="s">
        <v>12</v>
      </c>
      <c r="B8" s="25" t="s">
        <v>261</v>
      </c>
      <c r="C8" s="25"/>
      <c r="D8" s="23">
        <v>11950.86</v>
      </c>
      <c r="E8" s="123">
        <v>1</v>
      </c>
      <c r="F8" s="122"/>
      <c r="G8" s="122"/>
      <c r="H8" s="122"/>
      <c r="I8" s="122"/>
      <c r="J8" s="122"/>
      <c r="K8" s="24">
        <f t="shared" ref="K8:K23" si="0">SUM(E9:J9)</f>
        <v>11950.86</v>
      </c>
      <c r="L8" s="126"/>
    </row>
    <row r="9" spans="1:17" ht="15" customHeight="1" x14ac:dyDescent="0.25">
      <c r="A9" s="25"/>
      <c r="B9" s="25"/>
      <c r="C9" s="25"/>
      <c r="D9" s="23"/>
      <c r="E9" s="124">
        <v>11950.86</v>
      </c>
      <c r="F9" s="10"/>
      <c r="G9" s="10"/>
      <c r="H9" s="10"/>
      <c r="I9" s="10"/>
      <c r="J9" s="10"/>
      <c r="K9" s="24"/>
      <c r="L9" s="126"/>
    </row>
    <row r="10" spans="1:17" ht="15" customHeight="1" x14ac:dyDescent="0.25">
      <c r="A10" s="25" t="s">
        <v>13</v>
      </c>
      <c r="B10" s="25" t="s">
        <v>156</v>
      </c>
      <c r="C10" s="25"/>
      <c r="D10" s="23">
        <v>17265.240000000002</v>
      </c>
      <c r="E10" s="122"/>
      <c r="F10" s="122"/>
      <c r="G10" s="122"/>
      <c r="H10" s="122"/>
      <c r="I10" s="122"/>
      <c r="J10" s="123">
        <v>1</v>
      </c>
      <c r="K10" s="24">
        <f t="shared" ref="K10:K23" si="1">SUM(E11:J11)</f>
        <v>17265.240000000002</v>
      </c>
      <c r="L10" s="126"/>
      <c r="M10" s="3"/>
    </row>
    <row r="11" spans="1:17" ht="15" customHeight="1" x14ac:dyDescent="0.25">
      <c r="A11" s="25"/>
      <c r="B11" s="25"/>
      <c r="C11" s="25"/>
      <c r="D11" s="23"/>
      <c r="E11" s="10"/>
      <c r="F11" s="10"/>
      <c r="G11" s="10"/>
      <c r="H11" s="10"/>
      <c r="I11" s="10"/>
      <c r="J11" s="124">
        <v>17265.240000000002</v>
      </c>
      <c r="K11" s="24"/>
      <c r="L11" s="126"/>
      <c r="N11" s="6"/>
      <c r="O11" s="2"/>
      <c r="P11" s="8"/>
      <c r="Q11" s="1"/>
    </row>
    <row r="12" spans="1:17" ht="15" customHeight="1" x14ac:dyDescent="0.25">
      <c r="A12" s="25" t="s">
        <v>15</v>
      </c>
      <c r="B12" s="25" t="s">
        <v>140</v>
      </c>
      <c r="C12" s="25"/>
      <c r="D12" s="23">
        <v>18799.52</v>
      </c>
      <c r="E12" s="122"/>
      <c r="F12" s="123">
        <v>1</v>
      </c>
      <c r="G12" s="122"/>
      <c r="H12" s="122"/>
      <c r="I12" s="122"/>
      <c r="J12" s="122"/>
      <c r="K12" s="24">
        <f t="shared" ref="K12:K23" si="2">SUM(E13:J13)</f>
        <v>18799.52</v>
      </c>
      <c r="L12" s="126"/>
      <c r="N12" s="6"/>
      <c r="O12" s="6"/>
    </row>
    <row r="13" spans="1:17" ht="15" customHeight="1" x14ac:dyDescent="0.25">
      <c r="A13" s="25"/>
      <c r="B13" s="25"/>
      <c r="C13" s="25"/>
      <c r="D13" s="23"/>
      <c r="E13" s="10"/>
      <c r="F13" s="124">
        <v>18799.52</v>
      </c>
      <c r="G13" s="10"/>
      <c r="H13" s="10"/>
      <c r="I13" s="10"/>
      <c r="J13" s="10"/>
      <c r="K13" s="24"/>
      <c r="L13" s="126"/>
      <c r="M13" s="1"/>
      <c r="N13" s="6"/>
      <c r="O13" s="6"/>
    </row>
    <row r="14" spans="1:17" ht="15" customHeight="1" x14ac:dyDescent="0.25">
      <c r="A14" s="25" t="s">
        <v>17</v>
      </c>
      <c r="B14" s="25" t="s">
        <v>16</v>
      </c>
      <c r="C14" s="25"/>
      <c r="D14" s="23">
        <v>115992.79</v>
      </c>
      <c r="E14" s="122"/>
      <c r="F14" s="127">
        <f>F$15/$D$14</f>
        <v>7.809640581970656E-2</v>
      </c>
      <c r="G14" s="9"/>
      <c r="H14" s="127">
        <f t="shared" ref="G14:I14" si="3">H$15/$D$14</f>
        <v>0.52571448621935901</v>
      </c>
      <c r="I14" s="127">
        <f t="shared" si="3"/>
        <v>0.39618910796093448</v>
      </c>
      <c r="J14" s="122"/>
      <c r="K14" s="24">
        <f t="shared" ref="K14:K23" si="4">SUM(E15:J15)</f>
        <v>115992.79</v>
      </c>
      <c r="L14" s="126"/>
      <c r="N14" s="6"/>
      <c r="O14" s="6"/>
    </row>
    <row r="15" spans="1:17" ht="15" customHeight="1" x14ac:dyDescent="0.25">
      <c r="A15" s="25"/>
      <c r="B15" s="25"/>
      <c r="C15" s="25"/>
      <c r="D15" s="23"/>
      <c r="E15" s="10"/>
      <c r="F15" s="124">
        <v>9058.6200000000008</v>
      </c>
      <c r="G15" s="10"/>
      <c r="H15" s="124">
        <v>60979.09</v>
      </c>
      <c r="I15" s="124">
        <v>45955.08</v>
      </c>
      <c r="J15" s="10"/>
      <c r="K15" s="24"/>
      <c r="L15" s="126"/>
      <c r="N15" s="6"/>
      <c r="O15" s="6"/>
    </row>
    <row r="16" spans="1:17" ht="15" customHeight="1" x14ac:dyDescent="0.25">
      <c r="A16" s="25" t="s">
        <v>19</v>
      </c>
      <c r="B16" s="25" t="s">
        <v>262</v>
      </c>
      <c r="C16" s="25"/>
      <c r="D16" s="23">
        <v>26971.97</v>
      </c>
      <c r="E16" s="122"/>
      <c r="F16" s="122"/>
      <c r="G16" s="123">
        <v>1</v>
      </c>
      <c r="H16" s="122"/>
      <c r="I16" s="122"/>
      <c r="J16" s="122"/>
      <c r="K16" s="24">
        <f t="shared" ref="K16:K23" si="5">SUM(E17:J17)</f>
        <v>26971.97</v>
      </c>
      <c r="L16" s="126"/>
      <c r="N16" s="6"/>
      <c r="O16" s="6"/>
    </row>
    <row r="17" spans="1:12" ht="15" customHeight="1" x14ac:dyDescent="0.25">
      <c r="A17" s="25"/>
      <c r="B17" s="25"/>
      <c r="C17" s="25"/>
      <c r="D17" s="23"/>
      <c r="E17" s="10"/>
      <c r="F17" s="10"/>
      <c r="G17" s="124">
        <v>26971.97</v>
      </c>
      <c r="H17" s="10"/>
      <c r="I17" s="10"/>
      <c r="J17" s="10"/>
      <c r="K17" s="24"/>
      <c r="L17" s="126"/>
    </row>
    <row r="18" spans="1:12" ht="15" customHeight="1" x14ac:dyDescent="0.25">
      <c r="A18" s="25" t="s">
        <v>21</v>
      </c>
      <c r="B18" s="25" t="s">
        <v>126</v>
      </c>
      <c r="C18" s="25"/>
      <c r="D18" s="23">
        <v>8830.7000000000007</v>
      </c>
      <c r="E18" s="122"/>
      <c r="F18" s="122"/>
      <c r="G18" s="123">
        <v>1</v>
      </c>
      <c r="H18" s="122"/>
      <c r="I18" s="122"/>
      <c r="J18" s="122"/>
      <c r="K18" s="24">
        <f t="shared" ref="K18:K23" si="6">SUM(E19:J19)</f>
        <v>8830.7000000000007</v>
      </c>
      <c r="L18" s="126"/>
    </row>
    <row r="19" spans="1:12" ht="15" customHeight="1" x14ac:dyDescent="0.25">
      <c r="A19" s="25"/>
      <c r="B19" s="25"/>
      <c r="C19" s="25"/>
      <c r="D19" s="23"/>
      <c r="E19" s="10"/>
      <c r="F19" s="10"/>
      <c r="G19" s="124">
        <v>8830.7000000000007</v>
      </c>
      <c r="H19" s="10"/>
      <c r="I19" s="10"/>
      <c r="J19" s="10"/>
      <c r="K19" s="24"/>
      <c r="L19" s="126"/>
    </row>
    <row r="20" spans="1:12" ht="15" customHeight="1" x14ac:dyDescent="0.25">
      <c r="A20" s="25" t="s">
        <v>22</v>
      </c>
      <c r="B20" s="114" t="s">
        <v>18</v>
      </c>
      <c r="C20" s="115"/>
      <c r="D20" s="119">
        <v>5574.2</v>
      </c>
      <c r="E20" s="122"/>
      <c r="F20" s="122"/>
      <c r="G20" s="123">
        <v>1</v>
      </c>
      <c r="H20" s="122"/>
      <c r="I20" s="122"/>
      <c r="J20" s="122"/>
      <c r="K20" s="24">
        <f t="shared" ref="K20:K23" si="7">SUM(E21:J21)</f>
        <v>5574.2</v>
      </c>
      <c r="L20" s="126"/>
    </row>
    <row r="21" spans="1:12" ht="15" customHeight="1" x14ac:dyDescent="0.25">
      <c r="A21" s="25"/>
      <c r="B21" s="116"/>
      <c r="C21" s="117"/>
      <c r="D21" s="120"/>
      <c r="E21" s="10"/>
      <c r="F21" s="10"/>
      <c r="G21" s="124">
        <v>5574.2</v>
      </c>
      <c r="H21" s="10"/>
      <c r="I21" s="10"/>
      <c r="J21" s="10"/>
      <c r="K21" s="24"/>
      <c r="L21" s="126"/>
    </row>
    <row r="22" spans="1:12" ht="15" customHeight="1" x14ac:dyDescent="0.25">
      <c r="A22" s="25" t="s">
        <v>263</v>
      </c>
      <c r="B22" s="114" t="s">
        <v>264</v>
      </c>
      <c r="C22" s="115"/>
      <c r="D22" s="119">
        <v>16029.82</v>
      </c>
      <c r="E22" s="118"/>
      <c r="F22" s="118"/>
      <c r="G22" s="118"/>
      <c r="H22" s="118"/>
      <c r="I22" s="118"/>
      <c r="J22" s="123">
        <v>1</v>
      </c>
      <c r="K22" s="24">
        <f t="shared" ref="K22:K23" si="8">SUM(E23:J23)</f>
        <v>16029.82</v>
      </c>
      <c r="L22" s="126"/>
    </row>
    <row r="23" spans="1:12" ht="15" customHeight="1" x14ac:dyDescent="0.25">
      <c r="A23" s="25"/>
      <c r="B23" s="116"/>
      <c r="C23" s="117"/>
      <c r="D23" s="120"/>
      <c r="E23" s="10"/>
      <c r="F23" s="10"/>
      <c r="G23" s="10"/>
      <c r="H23" s="10"/>
      <c r="I23" s="10"/>
      <c r="J23" s="124">
        <v>16029.82</v>
      </c>
      <c r="K23" s="24"/>
      <c r="L23" s="126"/>
    </row>
    <row r="24" spans="1:12" ht="15" customHeight="1" x14ac:dyDescent="0.25">
      <c r="D24" s="3"/>
      <c r="E24" s="128"/>
      <c r="F24" s="128"/>
      <c r="G24" s="128"/>
      <c r="H24" s="128"/>
      <c r="I24" s="128"/>
      <c r="J24" s="128"/>
      <c r="K24" s="128"/>
    </row>
    <row r="25" spans="1:12" ht="15" customHeight="1" x14ac:dyDescent="0.25">
      <c r="A25" s="7"/>
      <c r="B25" s="7"/>
      <c r="C25" s="7"/>
      <c r="D25" s="7"/>
      <c r="E25" s="125"/>
      <c r="F25" s="125"/>
      <c r="G25" s="125"/>
      <c r="H25" s="125"/>
      <c r="I25" s="125"/>
      <c r="J25" s="125"/>
      <c r="K25" s="125"/>
    </row>
    <row r="26" spans="1:12" ht="15" customHeight="1" x14ac:dyDescent="0.25">
      <c r="A26" s="7"/>
      <c r="B26" s="7"/>
      <c r="C26" s="7"/>
      <c r="D26" s="7"/>
      <c r="E26" s="7"/>
      <c r="F26" s="7"/>
    </row>
    <row r="27" spans="1:12" ht="15" customHeight="1" x14ac:dyDescent="0.25">
      <c r="A27" s="20" t="s">
        <v>30</v>
      </c>
      <c r="B27" s="20"/>
      <c r="C27" s="20"/>
      <c r="D27" s="7"/>
      <c r="E27" s="7"/>
      <c r="F27" s="7"/>
      <c r="G27" s="7"/>
      <c r="H27" s="7"/>
      <c r="I27" s="20" t="s">
        <v>265</v>
      </c>
      <c r="J27" s="20"/>
      <c r="K27" s="20"/>
    </row>
    <row r="28" spans="1:12" ht="15" customHeight="1" x14ac:dyDescent="0.25">
      <c r="A28" s="20" t="s">
        <v>266</v>
      </c>
      <c r="B28" s="20"/>
      <c r="C28" s="20"/>
      <c r="D28" s="7"/>
      <c r="E28" s="7"/>
      <c r="F28" s="7"/>
      <c r="G28" s="7"/>
      <c r="H28" s="7"/>
      <c r="I28" s="7"/>
      <c r="J28" s="7"/>
    </row>
    <row r="29" spans="1:12" ht="15" customHeight="1" x14ac:dyDescent="0.25">
      <c r="A29" s="20" t="s">
        <v>254</v>
      </c>
      <c r="B29" s="20"/>
      <c r="C29" s="20"/>
      <c r="D29" s="7"/>
      <c r="E29" s="7"/>
      <c r="F29" s="7"/>
      <c r="G29" s="7"/>
      <c r="H29" s="7"/>
      <c r="I29" s="7"/>
      <c r="J29" s="7"/>
    </row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4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</sheetData>
  <mergeCells count="68">
    <mergeCell ref="J24:J25"/>
    <mergeCell ref="K24:K25"/>
    <mergeCell ref="E24:E25"/>
    <mergeCell ref="F24:F25"/>
    <mergeCell ref="G24:G25"/>
    <mergeCell ref="H24:H25"/>
    <mergeCell ref="I24:I25"/>
    <mergeCell ref="K22:K23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B4:C5"/>
    <mergeCell ref="D4:D5"/>
    <mergeCell ref="A22:A23"/>
    <mergeCell ref="B22:C23"/>
    <mergeCell ref="D22:D23"/>
    <mergeCell ref="K20:K21"/>
    <mergeCell ref="A20:A21"/>
    <mergeCell ref="B20:C21"/>
    <mergeCell ref="D20:D21"/>
    <mergeCell ref="D8:D9"/>
    <mergeCell ref="J4:J5"/>
    <mergeCell ref="A1:K2"/>
    <mergeCell ref="A6:A7"/>
    <mergeCell ref="B6:C7"/>
    <mergeCell ref="D6:D7"/>
    <mergeCell ref="A3:K3"/>
    <mergeCell ref="K4:K5"/>
    <mergeCell ref="E4:E5"/>
    <mergeCell ref="F4:F5"/>
    <mergeCell ref="G4:G5"/>
    <mergeCell ref="H4:H5"/>
    <mergeCell ref="I4:I5"/>
    <mergeCell ref="A4:A5"/>
    <mergeCell ref="D12:D13"/>
    <mergeCell ref="A29:C29"/>
    <mergeCell ref="B8:C9"/>
    <mergeCell ref="B10:C11"/>
    <mergeCell ref="A18:A19"/>
    <mergeCell ref="A14:A15"/>
    <mergeCell ref="A16:A17"/>
    <mergeCell ref="A12:A13"/>
    <mergeCell ref="A8:A9"/>
    <mergeCell ref="A10:A11"/>
    <mergeCell ref="B14:C15"/>
    <mergeCell ref="B16:C17"/>
    <mergeCell ref="B18:C19"/>
    <mergeCell ref="B12:C13"/>
    <mergeCell ref="D10:D11"/>
    <mergeCell ref="A28:C28"/>
    <mergeCell ref="K6:K7"/>
    <mergeCell ref="K8:K9"/>
    <mergeCell ref="K10:K11"/>
    <mergeCell ref="K12:K13"/>
    <mergeCell ref="K14:K15"/>
    <mergeCell ref="K16:K17"/>
    <mergeCell ref="K18:K19"/>
    <mergeCell ref="I27:K27"/>
    <mergeCell ref="A27:C27"/>
    <mergeCell ref="D14:D15"/>
    <mergeCell ref="D16:D17"/>
    <mergeCell ref="D18:D19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0" workbookViewId="0">
      <selection activeCell="M9" sqref="M9"/>
    </sheetView>
  </sheetViews>
  <sheetFormatPr defaultRowHeight="30" customHeight="1" x14ac:dyDescent="0.25"/>
  <cols>
    <col min="1" max="1" width="12.28515625" bestFit="1" customWidth="1"/>
    <col min="4" max="4" width="11.28515625" bestFit="1" customWidth="1"/>
    <col min="5" max="5" width="7.140625" bestFit="1" customWidth="1"/>
    <col min="6" max="6" width="9.28515625" bestFit="1" customWidth="1"/>
    <col min="7" max="7" width="8.42578125" bestFit="1" customWidth="1"/>
    <col min="8" max="8" width="10.28515625" bestFit="1" customWidth="1"/>
    <col min="9" max="9" width="8" bestFit="1" customWidth="1"/>
    <col min="10" max="10" width="9.42578125" bestFit="1" customWidth="1"/>
  </cols>
  <sheetData>
    <row r="1" spans="1:10" ht="30" customHeight="1" x14ac:dyDescent="0.25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30" customHeight="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10" ht="30" customHeight="1" x14ac:dyDescent="0.25">
      <c r="A3" s="85" t="s">
        <v>251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30" customHeight="1" x14ac:dyDescent="0.25">
      <c r="A4" s="86" t="s">
        <v>42</v>
      </c>
      <c r="B4" s="87"/>
      <c r="C4" s="87"/>
      <c r="D4" s="87"/>
      <c r="E4" s="87"/>
      <c r="F4" s="87"/>
      <c r="G4" s="87"/>
      <c r="H4" s="88"/>
      <c r="I4" s="89" t="s">
        <v>43</v>
      </c>
      <c r="J4" s="89"/>
    </row>
    <row r="5" spans="1:10" ht="30" customHeight="1" x14ac:dyDescent="0.25">
      <c r="A5" s="82" t="s">
        <v>44</v>
      </c>
      <c r="B5" s="83"/>
      <c r="C5" s="83"/>
      <c r="D5" s="83"/>
      <c r="E5" s="83"/>
      <c r="F5" s="83"/>
      <c r="G5" s="83"/>
      <c r="H5" s="84"/>
      <c r="I5" s="90" t="s">
        <v>257</v>
      </c>
      <c r="J5" s="91"/>
    </row>
    <row r="6" spans="1:10" ht="30" customHeight="1" x14ac:dyDescent="0.25">
      <c r="A6" s="64"/>
      <c r="B6" s="65"/>
      <c r="C6" s="65"/>
      <c r="D6" s="65"/>
      <c r="E6" s="65"/>
      <c r="F6" s="65"/>
      <c r="G6" s="65"/>
      <c r="H6" s="65"/>
      <c r="I6" s="65"/>
      <c r="J6" s="66"/>
    </row>
    <row r="7" spans="1:10" ht="30" customHeight="1" x14ac:dyDescent="0.25">
      <c r="A7" s="49" t="s">
        <v>45</v>
      </c>
      <c r="B7" s="49"/>
      <c r="C7" s="49"/>
      <c r="D7" s="49"/>
      <c r="E7" s="49"/>
      <c r="F7" s="49"/>
      <c r="G7" s="49"/>
      <c r="H7" s="49"/>
      <c r="I7" s="44">
        <v>1</v>
      </c>
      <c r="J7" s="44"/>
    </row>
    <row r="8" spans="1:10" ht="30" customHeight="1" x14ac:dyDescent="0.25">
      <c r="A8" s="43" t="s">
        <v>46</v>
      </c>
      <c r="B8" s="43"/>
      <c r="C8" s="43"/>
      <c r="D8" s="43"/>
      <c r="E8" s="43"/>
      <c r="F8" s="43"/>
      <c r="G8" s="43"/>
      <c r="H8" s="43"/>
      <c r="I8" s="44">
        <v>0.03</v>
      </c>
      <c r="J8" s="44"/>
    </row>
    <row r="9" spans="1:10" ht="30" customHeight="1" x14ac:dyDescent="0.25">
      <c r="A9" s="64"/>
      <c r="B9" s="65"/>
      <c r="C9" s="65"/>
      <c r="D9" s="65"/>
      <c r="E9" s="65"/>
      <c r="F9" s="65"/>
      <c r="G9" s="65"/>
      <c r="H9" s="65"/>
      <c r="I9" s="65"/>
      <c r="J9" s="66"/>
    </row>
    <row r="10" spans="1:10" ht="30" customHeight="1" x14ac:dyDescent="0.25">
      <c r="A10" s="45" t="s">
        <v>47</v>
      </c>
      <c r="B10" s="45"/>
      <c r="C10" s="45"/>
      <c r="D10" s="45"/>
      <c r="E10" s="45" t="s">
        <v>48</v>
      </c>
      <c r="F10" s="46" t="s">
        <v>49</v>
      </c>
      <c r="G10" s="46" t="s">
        <v>50</v>
      </c>
      <c r="H10" s="47" t="s">
        <v>51</v>
      </c>
      <c r="I10" s="47" t="s">
        <v>52</v>
      </c>
      <c r="J10" s="48" t="s">
        <v>53</v>
      </c>
    </row>
    <row r="11" spans="1:10" ht="30" customHeight="1" x14ac:dyDescent="0.25">
      <c r="A11" s="45"/>
      <c r="B11" s="45"/>
      <c r="C11" s="45"/>
      <c r="D11" s="45"/>
      <c r="E11" s="45"/>
      <c r="F11" s="46"/>
      <c r="G11" s="46"/>
      <c r="H11" s="47"/>
      <c r="I11" s="47"/>
      <c r="J11" s="48"/>
    </row>
    <row r="12" spans="1:10" ht="30" customHeight="1" x14ac:dyDescent="0.25">
      <c r="A12" s="41" t="str">
        <f>IF($I$12=$A$57,"Encargos Sociais incidentes sobre a mão de obra","Administração Central")</f>
        <v>Administração Central</v>
      </c>
      <c r="B12" s="41"/>
      <c r="C12" s="41"/>
      <c r="D12" s="41"/>
      <c r="E12" s="11" t="str">
        <f>IF($I$12=$A$57,"K1","AC")</f>
        <v>AC</v>
      </c>
      <c r="F12" s="12">
        <v>4.3900000000000002E-2</v>
      </c>
      <c r="G12" s="13" t="s">
        <v>54</v>
      </c>
      <c r="H12" s="14">
        <v>3.7999999999999999E-2</v>
      </c>
      <c r="I12" s="14">
        <v>4.0099999999999997E-2</v>
      </c>
      <c r="J12" s="14">
        <v>4.6699999999999998E-2</v>
      </c>
    </row>
    <row r="13" spans="1:10" ht="30" customHeight="1" x14ac:dyDescent="0.25">
      <c r="A13" s="41" t="str">
        <f>IF($I$12=$A$57,"Administração Central da empresa ou consultoria - overhead","Seguro e Garantia")</f>
        <v>Seguro e Garantia</v>
      </c>
      <c r="B13" s="41"/>
      <c r="C13" s="41"/>
      <c r="D13" s="41"/>
      <c r="E13" s="11" t="str">
        <f>IF($I$12=$A$57,"K2","SG")</f>
        <v>SG</v>
      </c>
      <c r="F13" s="12">
        <v>5.0000000000000001E-3</v>
      </c>
      <c r="G13" s="13" t="s">
        <v>54</v>
      </c>
      <c r="H13" s="14">
        <v>3.2000000000000002E-3</v>
      </c>
      <c r="I13" s="14">
        <v>4.0000000000000001E-3</v>
      </c>
      <c r="J13" s="14">
        <v>7.4000000000000003E-3</v>
      </c>
    </row>
    <row r="14" spans="1:10" ht="30" customHeight="1" x14ac:dyDescent="0.25">
      <c r="A14" s="41" t="str">
        <f>IF($I$12=$A$57,"","Risco")</f>
        <v>Risco</v>
      </c>
      <c r="B14" s="41"/>
      <c r="C14" s="41"/>
      <c r="D14" s="41"/>
      <c r="E14" s="11" t="str">
        <f>IF($I$12=$A$57,"","R")</f>
        <v>R</v>
      </c>
      <c r="F14" s="12">
        <v>8.8999999999999999E-3</v>
      </c>
      <c r="G14" s="13" t="s">
        <v>54</v>
      </c>
      <c r="H14" s="14">
        <v>5.0000000000000001E-3</v>
      </c>
      <c r="I14" s="14">
        <v>5.5999999999999999E-3</v>
      </c>
      <c r="J14" s="14">
        <v>9.7000000000000003E-3</v>
      </c>
    </row>
    <row r="15" spans="1:10" ht="30" customHeight="1" x14ac:dyDescent="0.25">
      <c r="A15" s="41" t="str">
        <f>IF($I$12=$A$57,"","Despesas Financeiras")</f>
        <v>Despesas Financeiras</v>
      </c>
      <c r="B15" s="41"/>
      <c r="C15" s="41"/>
      <c r="D15" s="41"/>
      <c r="E15" s="11" t="str">
        <f>IF($I$12=$A$57,"","DF")</f>
        <v>DF</v>
      </c>
      <c r="F15" s="12">
        <v>1.11E-2</v>
      </c>
      <c r="G15" s="13" t="s">
        <v>54</v>
      </c>
      <c r="H15" s="14">
        <v>1.0200000000000001E-2</v>
      </c>
      <c r="I15" s="14">
        <v>1.11E-2</v>
      </c>
      <c r="J15" s="14">
        <v>1.21E-2</v>
      </c>
    </row>
    <row r="16" spans="1:10" ht="30" customHeight="1" x14ac:dyDescent="0.25">
      <c r="A16" s="41" t="str">
        <f>IF($I$12=$A$57,"Margem bruta da empresa de consultoria","Lucro")</f>
        <v>Lucro</v>
      </c>
      <c r="B16" s="41"/>
      <c r="C16" s="41"/>
      <c r="D16" s="41"/>
      <c r="E16" s="11" t="str">
        <f>IF($I$12=$A$57,"K3","L")</f>
        <v>L</v>
      </c>
      <c r="F16" s="12">
        <v>6.6400000000000001E-2</v>
      </c>
      <c r="G16" s="13" t="s">
        <v>54</v>
      </c>
      <c r="H16" s="14">
        <v>6.6400000000000001E-2</v>
      </c>
      <c r="I16" s="14">
        <v>7.2999999999999995E-2</v>
      </c>
      <c r="J16" s="14">
        <v>8.6900000000000005E-2</v>
      </c>
    </row>
    <row r="17" spans="1:10" ht="30" customHeight="1" x14ac:dyDescent="0.25">
      <c r="A17" s="42" t="s">
        <v>55</v>
      </c>
      <c r="B17" s="42"/>
      <c r="C17" s="42"/>
      <c r="D17" s="42"/>
      <c r="E17" s="11" t="s">
        <v>56</v>
      </c>
      <c r="F17" s="12">
        <v>3.6499999999999998E-2</v>
      </c>
      <c r="G17" s="13" t="s">
        <v>54</v>
      </c>
      <c r="H17" s="14">
        <v>3.6499999999999998E-2</v>
      </c>
      <c r="I17" s="14">
        <v>3.6499999999999998E-2</v>
      </c>
      <c r="J17" s="14">
        <v>3.6499999999999998E-2</v>
      </c>
    </row>
    <row r="18" spans="1:10" ht="30" customHeight="1" x14ac:dyDescent="0.25">
      <c r="A18" s="41" t="s">
        <v>57</v>
      </c>
      <c r="B18" s="41"/>
      <c r="C18" s="41"/>
      <c r="D18" s="41"/>
      <c r="E18" s="11" t="s">
        <v>58</v>
      </c>
      <c r="F18" s="14">
        <v>0.03</v>
      </c>
      <c r="G18" s="13" t="s">
        <v>54</v>
      </c>
      <c r="H18" s="14">
        <v>0</v>
      </c>
      <c r="I18" s="14">
        <v>2.5000000000000001E-2</v>
      </c>
      <c r="J18" s="14">
        <v>0.05</v>
      </c>
    </row>
    <row r="19" spans="1:10" ht="30" customHeight="1" x14ac:dyDescent="0.25">
      <c r="A19" s="41" t="s">
        <v>59</v>
      </c>
      <c r="B19" s="41"/>
      <c r="C19" s="41"/>
      <c r="D19" s="41"/>
      <c r="E19" s="11" t="s">
        <v>60</v>
      </c>
      <c r="F19" s="14">
        <v>4.4999999999999998E-2</v>
      </c>
      <c r="G19" s="13" t="str">
        <f>IF(AND(F19&gt;=H19, F19&lt;=J19), "OK", "Não OK")</f>
        <v>OK</v>
      </c>
      <c r="H19" s="15">
        <v>0</v>
      </c>
      <c r="I19" s="15">
        <v>4.4999999999999998E-2</v>
      </c>
      <c r="J19" s="15">
        <v>4.4999999999999998E-2</v>
      </c>
    </row>
    <row r="20" spans="1:10" ht="30" customHeight="1" x14ac:dyDescent="0.25">
      <c r="A20" s="41" t="s">
        <v>61</v>
      </c>
      <c r="B20" s="41"/>
      <c r="C20" s="41"/>
      <c r="D20" s="41"/>
      <c r="E20" s="16" t="s">
        <v>62</v>
      </c>
      <c r="F20" s="14">
        <v>0.2218</v>
      </c>
      <c r="G20" s="19" t="str">
        <f>IF(OR($I$12=$A$57,$I$12=$A$56,AND(F20&gt;=H20, F20&lt;=J20)), "OK", "FORA DO INTERVALO")</f>
        <v>OK</v>
      </c>
      <c r="H20" s="14">
        <v>0.19600000000000001</v>
      </c>
      <c r="I20" s="14">
        <v>0.2097</v>
      </c>
      <c r="J20" s="14">
        <v>0.24229999999999999</v>
      </c>
    </row>
    <row r="21" spans="1:10" ht="30" customHeight="1" x14ac:dyDescent="0.25">
      <c r="A21" s="58" t="s">
        <v>63</v>
      </c>
      <c r="B21" s="58"/>
      <c r="C21" s="58"/>
      <c r="D21" s="58"/>
      <c r="E21" s="59" t="s">
        <v>64</v>
      </c>
      <c r="F21" s="62">
        <f>IF($I$12=$A$56,0,ROUND((((1+F12+F13+F14)*(1+F15)*(1+F16)/(1-(F17+F18+F19)))-1),4))</f>
        <v>0.28370000000000001</v>
      </c>
      <c r="G21" s="60" t="str">
        <f>IF(I5&lt;&gt;"Sim","",G20)</f>
        <v>OK</v>
      </c>
      <c r="H21" s="61"/>
      <c r="I21" s="61"/>
      <c r="J21" s="61"/>
    </row>
    <row r="22" spans="1:10" ht="30" customHeight="1" x14ac:dyDescent="0.25">
      <c r="A22" s="67" t="s">
        <v>65</v>
      </c>
      <c r="B22" s="35"/>
      <c r="C22" s="35"/>
      <c r="D22" s="35"/>
      <c r="E22" s="35"/>
      <c r="F22" s="35"/>
      <c r="G22" s="35"/>
      <c r="H22" s="35"/>
      <c r="I22" s="35"/>
      <c r="J22" s="68"/>
    </row>
    <row r="23" spans="1:10" ht="30" customHeight="1" x14ac:dyDescent="0.25">
      <c r="A23" s="69"/>
      <c r="B23" s="17"/>
      <c r="C23" s="17"/>
      <c r="D23" s="36" t="str">
        <f>IF(I5="Sim","BDI.DES =","BDI.PAD =")</f>
        <v>BDI.DES =</v>
      </c>
      <c r="E23" s="37" t="str">
        <f>IF($I$12=$A$57,"(1+K1+K2)*(1+K3)","(1+AC + S + R + G)*(1 + DF)*(1+L)")</f>
        <v>(1+AC + S + R + G)*(1 + DF)*(1+L)</v>
      </c>
      <c r="F23" s="37"/>
      <c r="G23" s="37"/>
      <c r="H23" s="38" t="s">
        <v>66</v>
      </c>
      <c r="I23" s="17"/>
      <c r="J23" s="70"/>
    </row>
    <row r="24" spans="1:10" ht="30" customHeight="1" x14ac:dyDescent="0.25">
      <c r="A24" s="69"/>
      <c r="B24" s="17"/>
      <c r="C24" s="17"/>
      <c r="D24" s="36"/>
      <c r="E24" s="40" t="str">
        <f>IF(I5="Sim","(1-CP-ISS-CRPB)","(1-CP-ISS)")</f>
        <v>(1-CP-ISS-CRPB)</v>
      </c>
      <c r="F24" s="40"/>
      <c r="G24" s="40"/>
      <c r="H24" s="39"/>
      <c r="I24" s="17"/>
      <c r="J24" s="70"/>
    </row>
    <row r="25" spans="1:10" ht="30" customHeight="1" x14ac:dyDescent="0.25">
      <c r="A25" s="71"/>
      <c r="B25" s="18"/>
      <c r="C25" s="18"/>
      <c r="D25" s="18"/>
      <c r="E25" s="18"/>
      <c r="F25" s="18"/>
      <c r="G25" s="18"/>
      <c r="H25" s="18"/>
      <c r="I25" s="18"/>
      <c r="J25" s="72"/>
    </row>
    <row r="26" spans="1:10" ht="30" customHeight="1" x14ac:dyDescent="0.25">
      <c r="A26" s="31" t="str">
        <f>CONCATENATE("Declaro para os devidos fins que, conforme legislação tributária municipal, a base de cálculo para ",A5,", é de ",I7*100,"%, com a respectiva alíquota de ",I8*100,"%.")</f>
        <v>Declaro para os devidos fins que, conforme legislação tributária municipal, a base de cálculo para Construção de Praças Urbanas, Rodovias, Ferrovias e recapeamento e pavimentação de vias urbanas, é de 100%, com a respectiva alíquota de 3%.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30" customHeight="1" x14ac:dyDescent="0.25">
      <c r="A27" s="64"/>
      <c r="B27" s="65"/>
      <c r="C27" s="65"/>
      <c r="D27" s="65"/>
      <c r="E27" s="65"/>
      <c r="F27" s="65"/>
      <c r="G27" s="65"/>
      <c r="H27" s="65"/>
      <c r="I27" s="65"/>
      <c r="J27" s="66"/>
    </row>
    <row r="28" spans="1:10" ht="30" customHeight="1" x14ac:dyDescent="0.25">
      <c r="A28" s="31" t="str">
        <f>CONCATENATE("Declaro para os devidos fins que o regime de Contribuição Previdenciária sobre a Receita Bruta adotado para elaboração do orçamento foi ",IF(I5="Sim","COM","SEM")," Desoneração, e que esta é a alternativa mais adequada para a Administração Pública.")</f>
        <v>Declaro para os devidos fins que o regime de Contribuição Previdenciária sobre a Receita Bruta adotado para elaboração do orçamento foi COM Desoneração, e que esta é a alternativa mais adequada para a Administração Pública.</v>
      </c>
      <c r="B28" s="31"/>
      <c r="C28" s="31"/>
      <c r="D28" s="31"/>
      <c r="E28" s="31"/>
      <c r="F28" s="31"/>
      <c r="G28" s="31"/>
      <c r="H28" s="31"/>
      <c r="I28" s="31"/>
      <c r="J28" s="31"/>
    </row>
    <row r="29" spans="1:10" ht="30" customHeight="1" x14ac:dyDescent="0.25">
      <c r="A29" s="64"/>
      <c r="B29" s="65"/>
      <c r="C29" s="65"/>
      <c r="D29" s="65"/>
      <c r="E29" s="65"/>
      <c r="F29" s="65"/>
      <c r="G29" s="65"/>
      <c r="H29" s="65"/>
      <c r="I29" s="65"/>
      <c r="J29" s="66"/>
    </row>
    <row r="30" spans="1:10" ht="30" customHeight="1" x14ac:dyDescent="0.25">
      <c r="A30" s="64" t="s">
        <v>67</v>
      </c>
      <c r="B30" s="65"/>
      <c r="C30" s="65"/>
      <c r="D30" s="65"/>
      <c r="E30" s="65"/>
      <c r="F30" s="65"/>
      <c r="G30" s="65"/>
      <c r="H30" s="65"/>
      <c r="I30" s="65"/>
      <c r="J30" s="66"/>
    </row>
    <row r="31" spans="1:10" ht="30" customHeight="1" x14ac:dyDescent="0.25">
      <c r="A31" s="32"/>
      <c r="B31" s="33"/>
      <c r="C31" s="33"/>
      <c r="D31" s="33"/>
      <c r="E31" s="33"/>
      <c r="F31" s="33"/>
      <c r="G31" s="33"/>
      <c r="H31" s="33"/>
      <c r="I31" s="33"/>
      <c r="J31" s="34"/>
    </row>
    <row r="32" spans="1:10" ht="30" customHeight="1" x14ac:dyDescent="0.25">
      <c r="A32" s="73"/>
      <c r="B32" s="74"/>
      <c r="C32" s="74"/>
      <c r="D32" s="74"/>
      <c r="E32" s="74"/>
      <c r="F32" s="74"/>
      <c r="G32" s="74"/>
      <c r="H32" s="74"/>
      <c r="I32" s="74"/>
      <c r="J32" s="75"/>
    </row>
    <row r="33" spans="1:10" ht="15" x14ac:dyDescent="0.25">
      <c r="A33" s="76" t="s">
        <v>252</v>
      </c>
      <c r="B33" s="77"/>
      <c r="C33" s="77"/>
      <c r="D33" s="77"/>
      <c r="E33" s="74"/>
      <c r="F33" s="77" t="s">
        <v>255</v>
      </c>
      <c r="G33" s="77"/>
      <c r="H33" s="77"/>
      <c r="I33" s="77"/>
      <c r="J33" s="78"/>
    </row>
    <row r="34" spans="1:10" ht="15" x14ac:dyDescent="0.25">
      <c r="A34" s="76" t="s">
        <v>253</v>
      </c>
      <c r="B34" s="77"/>
      <c r="C34" s="77"/>
      <c r="D34" s="77"/>
      <c r="E34" s="74"/>
      <c r="F34" s="77" t="s">
        <v>256</v>
      </c>
      <c r="G34" s="77"/>
      <c r="H34" s="77"/>
      <c r="I34" s="77"/>
      <c r="J34" s="78"/>
    </row>
    <row r="35" spans="1:10" ht="15" x14ac:dyDescent="0.25">
      <c r="A35" s="76" t="s">
        <v>254</v>
      </c>
      <c r="B35" s="77"/>
      <c r="C35" s="77"/>
      <c r="D35" s="77"/>
      <c r="E35" s="74"/>
      <c r="F35" s="74"/>
      <c r="G35" s="77"/>
      <c r="H35" s="77"/>
      <c r="I35" s="77"/>
      <c r="J35" s="78"/>
    </row>
    <row r="36" spans="1:10" ht="30" customHeight="1" x14ac:dyDescent="0.25">
      <c r="A36" s="79"/>
      <c r="B36" s="80"/>
      <c r="C36" s="80"/>
      <c r="D36" s="80"/>
      <c r="E36" s="80"/>
      <c r="F36" s="80"/>
      <c r="G36" s="80"/>
      <c r="H36" s="80"/>
      <c r="I36" s="80"/>
      <c r="J36" s="81"/>
    </row>
  </sheetData>
  <mergeCells count="42">
    <mergeCell ref="A33:D33"/>
    <mergeCell ref="A34:D34"/>
    <mergeCell ref="A35:D35"/>
    <mergeCell ref="G35:J35"/>
    <mergeCell ref="F33:J33"/>
    <mergeCell ref="F34:J34"/>
    <mergeCell ref="A3:J3"/>
    <mergeCell ref="A1:J2"/>
    <mergeCell ref="A7:H7"/>
    <mergeCell ref="I7:J7"/>
    <mergeCell ref="A4:H4"/>
    <mergeCell ref="I4:J4"/>
    <mergeCell ref="A5:H5"/>
    <mergeCell ref="I5:J5"/>
    <mergeCell ref="A8:H8"/>
    <mergeCell ref="I8:J8"/>
    <mergeCell ref="A10:D11"/>
    <mergeCell ref="E10:E11"/>
    <mergeCell ref="F10:F11"/>
    <mergeCell ref="G10:G11"/>
    <mergeCell ref="H10:H11"/>
    <mergeCell ref="I10:I11"/>
    <mergeCell ref="J10:J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H21:J21"/>
    <mergeCell ref="A28:J28"/>
    <mergeCell ref="A31:J31"/>
    <mergeCell ref="A22:J22"/>
    <mergeCell ref="D23:D24"/>
    <mergeCell ref="E23:G23"/>
    <mergeCell ref="H23:H24"/>
    <mergeCell ref="E24:G24"/>
    <mergeCell ref="A26:J26"/>
  </mergeCells>
  <conditionalFormatting sqref="G12:G21">
    <cfRule type="expression" dxfId="5" priority="6" stopIfTrue="1">
      <formula>AND(G12&lt;&gt;"OK",G12&lt;&gt;"-",G12&lt;&gt;"")</formula>
    </cfRule>
    <cfRule type="cellIs" dxfId="4" priority="7" stopIfTrue="1" operator="equal">
      <formula>"OK"</formula>
    </cfRule>
  </conditionalFormatting>
  <conditionalFormatting sqref="A20:F20">
    <cfRule type="expression" dxfId="3" priority="5" stopIfTrue="1">
      <formula>$Q$10="Não"</formula>
    </cfRule>
  </conditionalFormatting>
  <conditionalFormatting sqref="A21:F21">
    <cfRule type="expression" dxfId="2" priority="4" stopIfTrue="1">
      <formula>$Q$10="sim"</formula>
    </cfRule>
  </conditionalFormatting>
  <conditionalFormatting sqref="H21:J21">
    <cfRule type="expression" dxfId="1" priority="3" stopIfTrue="1">
      <formula>$Q$10="sim"</formula>
    </cfRule>
  </conditionalFormatting>
  <conditionalFormatting sqref="H12:J20">
    <cfRule type="expression" dxfId="0" priority="8" stopIfTrue="1">
      <formula>$I$12=$A$56</formula>
    </cfRule>
  </conditionalFormatting>
  <dataValidations count="6">
    <dataValidation type="decimal" allowBlank="1" showInputMessage="1" showErrorMessage="1" errorTitle="Erro de valores" error="Digite um valor entre 0% e 100%" sqref="F12:F17">
      <formula1>0</formula1>
      <formula2>1</formula2>
    </dataValidation>
    <dataValidation type="decimal" operator="greaterThanOrEqual" allowBlank="1" showInputMessage="1" showErrorMessage="1" errorTitle="Valor não permitido" error="Digite um percentual entre 0% e 100%." promptTitle="Valores comuns:" prompt="Normalmente entre 2 e 5%." sqref="I8:J8">
      <formula1>0</formula1>
    </dataValidation>
    <dataValidation type="decimal" allowBlank="1" showInputMessage="1" showErrorMessage="1" errorTitle="Valor não permitido" error="Digite um percentual entre 0% e 100%." promptTitle="Valores admissíveis:" prompt="Insira valores entre 0 e 100%." sqref="I7:J7">
      <formula1>0</formula1>
      <formula2>1</formula2>
    </dataValidation>
    <dataValidation type="decimal" allowBlank="1" showInputMessage="1" showErrorMessage="1" errorTitle="Erro de valores" error="Digite um valor maior do que 0." sqref="F18">
      <formula1>0</formula1>
      <formula2>1</formula2>
    </dataValidation>
    <dataValidation operator="greaterThanOrEqual" allowBlank="1" showInputMessage="1" showErrorMessage="1" errorTitle="Erro de valores" error="Digite um valor igual a 0% ou 2%." sqref="F19"/>
    <dataValidation type="list" allowBlank="1" showInputMessage="1" showErrorMessage="1" sqref="A5:H5">
      <formula1>$A$50:$A$57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Orçamento</vt:lpstr>
      <vt:lpstr>Cronograma</vt:lpstr>
      <vt:lpstr>BDI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SMADM02</dc:creator>
  <cp:lastModifiedBy>SMADM02</cp:lastModifiedBy>
  <cp:lastPrinted>2019-03-14T11:30:51Z</cp:lastPrinted>
  <dcterms:created xsi:type="dcterms:W3CDTF">2019-03-13T17:24:29Z</dcterms:created>
  <dcterms:modified xsi:type="dcterms:W3CDTF">2019-08-06T13:53:24Z</dcterms:modified>
</cp:coreProperties>
</file>